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10" yWindow="65521" windowWidth="9090" windowHeight="8970" tabRatio="804" activeTab="1"/>
  </bookViews>
  <sheets>
    <sheet name="Changes made" sheetId="1" r:id="rId1"/>
    <sheet name="Summary" sheetId="2" r:id="rId2"/>
    <sheet name="Automated Spraying" sheetId="3" r:id="rId3"/>
    <sheet name="Automated Spraying-2" sheetId="4" r:id="rId4"/>
    <sheet name="Dipping-immersion" sheetId="5" r:id="rId5"/>
    <sheet name="Dipping-immersion-2" sheetId="6" r:id="rId6"/>
    <sheet name="House" sheetId="7" r:id="rId7"/>
    <sheet name="House-2" sheetId="8" r:id="rId8"/>
    <sheet name="Fence post" sheetId="9" r:id="rId9"/>
    <sheet name="Fence post-2" sheetId="10" r:id="rId10"/>
    <sheet name="Transmission pole" sheetId="11" r:id="rId11"/>
    <sheet name="Transmission pole-2" sheetId="12" r:id="rId12"/>
    <sheet name="Jetty in lake" sheetId="13" r:id="rId13"/>
    <sheet name="Jetty in lake-2" sheetId="14" r:id="rId14"/>
    <sheet name="Wharf" sheetId="15" r:id="rId15"/>
    <sheet name="Wharf-2" sheetId="16" r:id="rId16"/>
    <sheet name="Brushing house outdoor-applic." sheetId="17" r:id="rId17"/>
  </sheets>
  <definedNames>
    <definedName name="_xlnm.Print_Area" localSheetId="2">'Automated Spraying'!$A$1:$I$33</definedName>
    <definedName name="_xlnm.Print_Area" localSheetId="3">'Automated Spraying-2'!$A$1:$I$33</definedName>
    <definedName name="_xlnm.Print_Area" localSheetId="16">'Brushing house outdoor-applic.'!$A$1:$I$40</definedName>
    <definedName name="_xlnm.Print_Area" localSheetId="4">'Dipping-immersion'!$A$1:$I$40</definedName>
    <definedName name="_xlnm.Print_Area" localSheetId="5">'Dipping-immersion-2'!$A$1:$I$40</definedName>
    <definedName name="_xlnm.Print_Area" localSheetId="8">'Fence post'!$A$1:$I$40</definedName>
    <definedName name="_xlnm.Print_Area" localSheetId="9">'Fence post-2'!$A$1:$I$40</definedName>
    <definedName name="_xlnm.Print_Area" localSheetId="6">'House'!$A$1:$I$40</definedName>
    <definedName name="_xlnm.Print_Area" localSheetId="7">'House-2'!$A$1:$I$40</definedName>
    <definedName name="_xlnm.Print_Area" localSheetId="12">'Jetty in lake'!$A$1:$I$40</definedName>
    <definedName name="_xlnm.Print_Area" localSheetId="13">'Jetty in lake-2'!$A$1:$I$40</definedName>
    <definedName name="_xlnm.Print_Area" localSheetId="1">'Summary'!$A$4:$R$53</definedName>
    <definedName name="_xlnm.Print_Area" localSheetId="10">'Transmission pole'!$A$1:$I$40</definedName>
    <definedName name="_xlnm.Print_Area" localSheetId="11">'Transmission pole-2'!$A$1:$I$40</definedName>
    <definedName name="_xlnm.Print_Area" localSheetId="14">'Wharf'!$A$1:$I$40</definedName>
    <definedName name="_xlnm.Print_Area" localSheetId="15">'Wharf-2'!$A$1:$I$40</definedName>
    <definedName name="Vp">'Automated Spraying'!$F$53:$F$58</definedName>
  </definedNames>
  <calcPr fullCalcOnLoad="1"/>
</workbook>
</file>

<file path=xl/comments2.xml><?xml version="1.0" encoding="utf-8"?>
<comments xmlns="http://schemas.openxmlformats.org/spreadsheetml/2006/main">
  <authors>
    <author>jeram</author>
  </authors>
  <commentList>
    <comment ref="C5" authorId="0">
      <text>
        <r>
          <rPr>
            <sz val="8"/>
            <rFont val="Tahoma"/>
            <family val="2"/>
          </rPr>
          <t>Data entered in this cell will appear on all sheets.</t>
        </r>
        <r>
          <rPr>
            <sz val="12"/>
            <rFont val="Tahoma"/>
            <family val="2"/>
          </rPr>
          <t xml:space="preserve">
</t>
        </r>
      </text>
    </comment>
    <comment ref="C6" authorId="0">
      <text>
        <r>
          <rPr>
            <sz val="8"/>
            <rFont val="Tahoma"/>
            <family val="2"/>
          </rPr>
          <t>Data entered in this cell will appear on all sheets.</t>
        </r>
        <r>
          <rPr>
            <sz val="8"/>
            <rFont val="Tahoma"/>
            <family val="0"/>
          </rPr>
          <t xml:space="preserve">
</t>
        </r>
      </text>
    </comment>
    <comment ref="C7" authorId="0">
      <text>
        <r>
          <rPr>
            <sz val="8"/>
            <rFont val="Tahoma"/>
            <family val="2"/>
          </rPr>
          <t>Data entered in this cell will appear on all sheets.</t>
        </r>
        <r>
          <rPr>
            <sz val="8"/>
            <rFont val="Tahoma"/>
            <family val="0"/>
          </rPr>
          <t xml:space="preserve">
</t>
        </r>
      </text>
    </comment>
    <comment ref="C9" authorId="0">
      <text>
        <r>
          <rPr>
            <sz val="8"/>
            <rFont val="Tahoma"/>
            <family val="2"/>
          </rPr>
          <t>Data entered in this cell will appear on all sheets.</t>
        </r>
        <r>
          <rPr>
            <sz val="8"/>
            <rFont val="Tahoma"/>
            <family val="0"/>
          </rPr>
          <t xml:space="preserve">
</t>
        </r>
      </text>
    </comment>
    <comment ref="C10" authorId="0">
      <text>
        <r>
          <rPr>
            <sz val="8"/>
            <rFont val="Tahoma"/>
            <family val="2"/>
          </rPr>
          <t>Data entered in this cell will appear on all sheets.</t>
        </r>
        <r>
          <rPr>
            <sz val="8"/>
            <rFont val="Tahoma"/>
            <family val="0"/>
          </rPr>
          <t xml:space="preserve">
</t>
        </r>
      </text>
    </comment>
  </commentList>
</comments>
</file>

<file path=xl/sharedStrings.xml><?xml version="1.0" encoding="utf-8"?>
<sst xmlns="http://schemas.openxmlformats.org/spreadsheetml/2006/main" count="1053" uniqueCount="302">
  <si>
    <t>D</t>
  </si>
  <si>
    <t>Vapour pressure [Pa]</t>
  </si>
  <si>
    <t>Water solubility [mg.l-1]</t>
  </si>
  <si>
    <t>AREAstorage [m2]</t>
  </si>
  <si>
    <t>AREAwood-exposed [m2.m-2]]</t>
  </si>
  <si>
    <t>Frunoff</t>
  </si>
  <si>
    <t>Vsoil [m3]</t>
  </si>
  <si>
    <t>RHOsoil [kgwwt.m-3]]</t>
  </si>
  <si>
    <t>1-Frunoff</t>
  </si>
  <si>
    <t>AREAhouse [m2]</t>
  </si>
  <si>
    <t>Qai [kg.m-3]</t>
  </si>
  <si>
    <t>VOLUMEwood-treated [m3.d-1]</t>
  </si>
  <si>
    <t>AREAplanks+pole [m2]</t>
  </si>
  <si>
    <t>Vwater [m3]</t>
  </si>
  <si>
    <t>Half-life in water [d]</t>
  </si>
  <si>
    <t>Rate constant k in water</t>
  </si>
  <si>
    <t>Emission to local air:</t>
  </si>
  <si>
    <t>Emission to facility drain:</t>
  </si>
  <si>
    <t>Local concentration in soil:</t>
  </si>
  <si>
    <t>Emission rate to surface water:</t>
  </si>
  <si>
    <t>Qai [kg.m-2]</t>
  </si>
  <si>
    <t>AREAwood-treated [m2.d-1]</t>
  </si>
  <si>
    <t>Fdrift</t>
  </si>
  <si>
    <t>Quantity of applied active ingredient:</t>
  </si>
  <si>
    <t>Total emission at storage:</t>
  </si>
  <si>
    <t>Total emission during initial assesment period:</t>
  </si>
  <si>
    <t>AREAplanks [m2]</t>
  </si>
  <si>
    <t>AREApoles [m2]</t>
  </si>
  <si>
    <t>TAUseawater [d]</t>
  </si>
  <si>
    <t>Esoil,brush [kg.d-1]</t>
  </si>
  <si>
    <t>AREAhouse [m2.d-1]</t>
  </si>
  <si>
    <t>Fsoil,brush,amateur</t>
  </si>
  <si>
    <t>Emission to water:</t>
  </si>
  <si>
    <t>Local concentration in water:</t>
  </si>
  <si>
    <t>Taking removal processes in consideration:</t>
  </si>
  <si>
    <t>TIME1 [d]</t>
  </si>
  <si>
    <t>Qleach,time1 [kg]</t>
  </si>
  <si>
    <t>E-LOCALsurfacewater,time1 [kg.d-1]</t>
  </si>
  <si>
    <t>Total emission during initial assessment periods:</t>
  </si>
  <si>
    <t>Total emission during initial assessment period:</t>
  </si>
  <si>
    <t>Ewater,leach,time1 [mg.d-1]</t>
  </si>
  <si>
    <t>k.time1</t>
  </si>
  <si>
    <t>1-(exp-time1.k) / k.time1</t>
  </si>
  <si>
    <t>Ewater,leach,time1 / (Vwater.k)</t>
  </si>
  <si>
    <t>Spraying</t>
  </si>
  <si>
    <t>House</t>
  </si>
  <si>
    <t>Fence post</t>
  </si>
  <si>
    <t>Jetty in lake</t>
  </si>
  <si>
    <t>Wharf</t>
  </si>
  <si>
    <t>Qleach,storage,time1 [kg]</t>
  </si>
  <si>
    <t>LenghtHouse [m]</t>
  </si>
  <si>
    <t>WidthHouse [m]</t>
  </si>
  <si>
    <t>LenghtFencePost [m]</t>
  </si>
  <si>
    <t>WidthFencePost [m]</t>
  </si>
  <si>
    <t>RadiusPole [m]</t>
  </si>
  <si>
    <t>DistanceTreatedMaterial1 [m]</t>
  </si>
  <si>
    <t>DistanceTreatedMaterial2 [m]</t>
  </si>
  <si>
    <t>DistanceTreatedMaterial3 [m]</t>
  </si>
  <si>
    <t>Vsoil2 [m3]</t>
  </si>
  <si>
    <t>Vsoil3 [m3]</t>
  </si>
  <si>
    <t>DepthFencePost [m]</t>
  </si>
  <si>
    <t>DepthPole [m]</t>
  </si>
  <si>
    <t>(1)</t>
  </si>
  <si>
    <t>(2)</t>
  </si>
  <si>
    <t>Transmission pole</t>
  </si>
  <si>
    <t>Fsoil,brush,professional</t>
  </si>
  <si>
    <t>Esoil,brush,amateur [kg.d-1]</t>
  </si>
  <si>
    <t>Esoil,brush,professional [kg.d-1]</t>
  </si>
  <si>
    <t>Emission to soil during application:</t>
  </si>
  <si>
    <t>Brushing house outdoor</t>
  </si>
  <si>
    <t>(2,3)</t>
  </si>
  <si>
    <t>(2,4)</t>
  </si>
  <si>
    <t>Scenarios</t>
  </si>
  <si>
    <t>S</t>
  </si>
  <si>
    <t>O</t>
  </si>
  <si>
    <t>DepthReceivingSoil [m]</t>
  </si>
  <si>
    <t>k.TAUseawater</t>
  </si>
  <si>
    <t>1-(exp-TAUseawater.k) / k.TAUseawater</t>
  </si>
  <si>
    <t>1-(1-(e-TAUseawater.k) / k.TAUseawater)</t>
  </si>
  <si>
    <t>(3)</t>
  </si>
  <si>
    <t>(4)</t>
  </si>
  <si>
    <t>TIME1</t>
  </si>
  <si>
    <t>TIME2</t>
  </si>
  <si>
    <t>Disclaimer:</t>
  </si>
  <si>
    <t>Industrial preventive processes</t>
  </si>
  <si>
    <t>Treated wood in service</t>
  </si>
  <si>
    <t xml:space="preserve"> In-situ treatements</t>
  </si>
  <si>
    <t>(3) Amaterus</t>
  </si>
  <si>
    <t>(4) Professionals</t>
  </si>
  <si>
    <t>E-LOCALair [kg.d-1]</t>
  </si>
  <si>
    <t>E-LOCALfacilitydrain [kg.d-1]</t>
  </si>
  <si>
    <t>AREAwood-exposed [m2.m-2]</t>
  </si>
  <si>
    <t>R</t>
  </si>
  <si>
    <t>E</t>
  </si>
  <si>
    <t>U</t>
  </si>
  <si>
    <t>L</t>
  </si>
  <si>
    <t>T</t>
  </si>
  <si>
    <t>I</t>
  </si>
  <si>
    <t>N</t>
  </si>
  <si>
    <t>P</t>
  </si>
  <si>
    <t xml:space="preserve">Frunoff </t>
  </si>
  <si>
    <t>Treat. W. in ser.</t>
  </si>
  <si>
    <t xml:space="preserve">1-Frunoff </t>
  </si>
  <si>
    <t>INPUT</t>
  </si>
  <si>
    <t>C-LOCALsoil1,leach,time1 [mg.kgwwt-1]</t>
  </si>
  <si>
    <t>C-LOCALsoil2,leach,time1 [mg.kgwwt-1]</t>
  </si>
  <si>
    <t>C-LOCALsoil3,leach,time1 [mg.kgwwt-1]</t>
  </si>
  <si>
    <t>C-LOCALwater,leach,time1 [mg.m-3]</t>
  </si>
  <si>
    <t>C-LOCALwater, time1 [mg.m-3]</t>
  </si>
  <si>
    <t>C-LOCALseawater,leach,time1 [mg.m-3]</t>
  </si>
  <si>
    <t>C-LOCALseawater, time1 [mg.m-3]</t>
  </si>
  <si>
    <t>1 - (exp(-TAUseawater.k))</t>
  </si>
  <si>
    <t>(exp(-TAUseawater.k))</t>
  </si>
  <si>
    <t>(exp(-time1.k))</t>
  </si>
  <si>
    <t>1 - (exp(-time1.k))</t>
  </si>
  <si>
    <t>1-(1-(e-time1.k) / k.time1)</t>
  </si>
  <si>
    <r>
      <t>E-LOCALsurfacewater,time1</t>
    </r>
    <r>
      <rPr>
        <sz val="8"/>
        <rFont val="Univers"/>
        <family val="2"/>
      </rPr>
      <t xml:space="preserve"> [kg.d-1]</t>
    </r>
  </si>
  <si>
    <r>
      <t>TIME1</t>
    </r>
    <r>
      <rPr>
        <sz val="8"/>
        <rFont val="Univers"/>
        <family val="2"/>
      </rPr>
      <t xml:space="preserve"> [d]</t>
    </r>
  </si>
  <si>
    <t xml:space="preserve">Water solubility [mg.l-1] </t>
  </si>
  <si>
    <t>Qleach,time1 [kg]  is per 1/2 day</t>
  </si>
  <si>
    <t>Ewater,leach,time1 [kg.d-1] per day</t>
  </si>
  <si>
    <t>WOOD PRESERVATIVES</t>
  </si>
  <si>
    <t>Biocidal product name:</t>
  </si>
  <si>
    <t>Active substance name:</t>
  </si>
  <si>
    <t>WOOD PRESERVATIVES - SUMMARY</t>
  </si>
  <si>
    <t>Study title:</t>
  </si>
  <si>
    <t>The spreadsheets for the calculation of the emissions have been produced by Royal Haskoning and the ECB on the basis of the OECD emission scenarios for wood preservatives. A brief quality check has been made but there may be some errors or inconsistencies not found. The Royal Haskoning or ECB can not be held responsible for any errors or inconsistencies caused by the use of the spreadsheets.</t>
  </si>
  <si>
    <t>Emission scenario:</t>
  </si>
  <si>
    <t>Automated spraying</t>
  </si>
  <si>
    <t>Vapour pressure [Pa] :</t>
  </si>
  <si>
    <t>Water solubility [mg.l-1] :</t>
  </si>
  <si>
    <t>Dipping-immersion</t>
  </si>
  <si>
    <t>Dipping-immersion-2</t>
  </si>
  <si>
    <t>Automated spraying-2</t>
  </si>
  <si>
    <t>House-2</t>
  </si>
  <si>
    <t>Transmission pole-2</t>
  </si>
  <si>
    <t xml:space="preserve">Jetty in lake </t>
  </si>
  <si>
    <t>Jetty in lake -2</t>
  </si>
  <si>
    <t>Wharf-2</t>
  </si>
  <si>
    <t>Fence post-2</t>
  </si>
  <si>
    <r>
      <t>Qleach,storage,time</t>
    </r>
    <r>
      <rPr>
        <sz val="8"/>
        <rFont val="Univers"/>
        <family val="0"/>
      </rPr>
      <t>2</t>
    </r>
    <r>
      <rPr>
        <sz val="8"/>
        <rFont val="Univers"/>
        <family val="2"/>
      </rPr>
      <t xml:space="preserve"> [kg]</t>
    </r>
  </si>
  <si>
    <r>
      <t>E-LOCALsurfacewater,time2</t>
    </r>
    <r>
      <rPr>
        <sz val="8"/>
        <rFont val="Univers"/>
        <family val="2"/>
      </rPr>
      <t xml:space="preserve"> [kg.d-1]</t>
    </r>
  </si>
  <si>
    <r>
      <t>TIME2</t>
    </r>
    <r>
      <rPr>
        <sz val="8"/>
        <rFont val="Univers"/>
        <family val="2"/>
      </rPr>
      <t xml:space="preserve">  [d]</t>
    </r>
  </si>
  <si>
    <r>
      <t>Qleach,storage,time2</t>
    </r>
    <r>
      <rPr>
        <sz val="8"/>
        <rFont val="Univers"/>
        <family val="2"/>
      </rPr>
      <t xml:space="preserve"> [kg]</t>
    </r>
  </si>
  <si>
    <r>
      <t>TIME2</t>
    </r>
    <r>
      <rPr>
        <sz val="8"/>
        <rFont val="Univers"/>
        <family val="2"/>
      </rPr>
      <t xml:space="preserve"> [d]</t>
    </r>
  </si>
  <si>
    <t>TIME2 [d]</t>
  </si>
  <si>
    <t>C-LOCALsoil1,leach,time2 [mg.kgwwt-1]</t>
  </si>
  <si>
    <t>C-LOCALsoil2,leach,time2 [mg.kgwwt-1]</t>
  </si>
  <si>
    <t>C-LOCALsoil3,leach,time2 [mg.kgwwt-1]</t>
  </si>
  <si>
    <t>Qleach,time2 [kg]</t>
  </si>
  <si>
    <t>C-LOCALwater,leach,time2 [mg.m-3]</t>
  </si>
  <si>
    <t>Ewater,leach,time2 [mg.d-1]</t>
  </si>
  <si>
    <t>C-LOCALwater, time2 [mg.m-3]</t>
  </si>
  <si>
    <t>(exp(-time2.k))</t>
  </si>
  <si>
    <t>1 - (exp(-time2.k))</t>
  </si>
  <si>
    <t>k.time2</t>
  </si>
  <si>
    <t>1-(exp-time2.k) / k.time2</t>
  </si>
  <si>
    <t>1-(1-(e-time2.k) / k.time2)</t>
  </si>
  <si>
    <t>Ewater,leach,time2 / (Vwater.k)</t>
  </si>
  <si>
    <t>Qleach,time2 [kg]  is per 1/2 day</t>
  </si>
  <si>
    <t>Ewater,leach,time2 [kg.d-1] per day</t>
  </si>
  <si>
    <t>C-LOCALseawater, time2 [mg.m-3]</t>
  </si>
  <si>
    <t>C-LOCALseawater,leach,time2 [mg.m-3]</t>
  </si>
  <si>
    <t xml:space="preserve">RHOproduct [kg.l-1]                                         </t>
  </si>
  <si>
    <t xml:space="preserve">Cai [%]                                                            </t>
  </si>
  <si>
    <t xml:space="preserve">FLUXstorage,spray [mg.m-2.d-1]                       </t>
  </si>
  <si>
    <t xml:space="preserve">RHOproduct [kg.l-1]                                          </t>
  </si>
  <si>
    <t xml:space="preserve">Cai [%]                                                           </t>
  </si>
  <si>
    <t xml:space="preserve">FLUXstorage,dipp [mg.m-2.d-1]                        </t>
  </si>
  <si>
    <t xml:space="preserve">Q*leach,time1 [mg.m-2]                                   </t>
  </si>
  <si>
    <t xml:space="preserve">Vsoil1 [m3]                                                     </t>
  </si>
  <si>
    <t xml:space="preserve">Q*leach,time1 [mg.m-2]                      </t>
  </si>
  <si>
    <t xml:space="preserve">Vsoil1 [m3]                                         </t>
  </si>
  <si>
    <t xml:space="preserve">Vsoil1 [m3]                                    </t>
  </si>
  <si>
    <t xml:space="preserve">Qapplic,product [l.m-2]                      </t>
  </si>
  <si>
    <t xml:space="preserve">Time [days]  </t>
  </si>
  <si>
    <t>TIME1[d]</t>
  </si>
  <si>
    <t xml:space="preserve">Soil depth [m] </t>
  </si>
  <si>
    <t>Total emission (Total quantity leached) at storage:</t>
  </si>
  <si>
    <t>Local concentration in soil (at unpaved storage place):</t>
  </si>
  <si>
    <t>Emission rate to surface water (from unpaved storage place):</t>
  </si>
  <si>
    <t xml:space="preserve">Vapour pressure [Pa] </t>
  </si>
  <si>
    <t>AREAPole [m2]</t>
  </si>
  <si>
    <t>Soil depth under pole [m]</t>
  </si>
  <si>
    <t>Soil depth under post [m]</t>
  </si>
  <si>
    <t>Vwater [m3]                                             b</t>
  </si>
  <si>
    <t>Vwater [m3]                                                       b</t>
  </si>
  <si>
    <r>
      <t>AREA</t>
    </r>
    <r>
      <rPr>
        <sz val="8"/>
        <color indexed="8"/>
        <rFont val="Univers"/>
        <family val="2"/>
      </rPr>
      <t>fencepost</t>
    </r>
    <r>
      <rPr>
        <sz val="8"/>
        <rFont val="Univers"/>
        <family val="2"/>
      </rPr>
      <t xml:space="preserve"> [m2]</t>
    </r>
  </si>
  <si>
    <r>
      <t>AREA</t>
    </r>
    <r>
      <rPr>
        <sz val="8"/>
        <color indexed="8"/>
        <rFont val="Univers"/>
        <family val="2"/>
      </rPr>
      <t>fencepost</t>
    </r>
    <r>
      <rPr>
        <sz val="8"/>
        <color indexed="10"/>
        <rFont val="Univers"/>
        <family val="2"/>
      </rPr>
      <t xml:space="preserve"> </t>
    </r>
    <r>
      <rPr>
        <sz val="8"/>
        <rFont val="Univers"/>
        <family val="2"/>
      </rPr>
      <t>[m2]</t>
    </r>
  </si>
  <si>
    <t xml:space="preserve">(2) Distance  50 cm </t>
  </si>
  <si>
    <t xml:space="preserve">(2) Distance  10 cm </t>
  </si>
  <si>
    <t>(1) Units [kg.m-3]</t>
  </si>
  <si>
    <t>RESULTS</t>
  </si>
  <si>
    <t>E-LOCALsurfacewater,time [kg.d-1]</t>
  </si>
  <si>
    <r>
      <t xml:space="preserve">C-LOCALsoil,time [mg.kgwwt-1] </t>
    </r>
    <r>
      <rPr>
        <sz val="8"/>
        <color indexed="8"/>
        <rFont val="Univers"/>
        <family val="0"/>
      </rPr>
      <t>(2) Distance 2.5 cm</t>
    </r>
  </si>
  <si>
    <t>Ewater,leach,time [mg.d-1]</t>
  </si>
  <si>
    <t>C-LOCALsoil,time2 [mg.kgwwt-1]</t>
  </si>
  <si>
    <t>C-LOCALsoil,time1 [mg.kgwwt-1]</t>
  </si>
  <si>
    <t>C-LOCALwater,leach,time [mg.m-3]</t>
  </si>
  <si>
    <t>Qleach,(storage),time [kg]</t>
  </si>
  <si>
    <r>
      <t>Q*leach,time</t>
    </r>
    <r>
      <rPr>
        <sz val="8"/>
        <color indexed="8"/>
        <rFont val="Univers"/>
        <family val="2"/>
      </rPr>
      <t xml:space="preserve">1 [mg.m-2]                          a      </t>
    </r>
    <r>
      <rPr>
        <sz val="8"/>
        <rFont val="Univers"/>
        <family val="2"/>
      </rPr>
      <t xml:space="preserve">     </t>
    </r>
  </si>
  <si>
    <t>Q*leach,time2 [mg.m-2]                                     a</t>
  </si>
  <si>
    <r>
      <t xml:space="preserve">Cai [%] </t>
    </r>
    <r>
      <rPr>
        <sz val="8"/>
        <color indexed="10"/>
        <rFont val="Univers"/>
        <family val="2"/>
      </rPr>
      <t xml:space="preserve">    </t>
    </r>
    <r>
      <rPr>
        <sz val="8"/>
        <rFont val="Univers"/>
        <family val="2"/>
      </rPr>
      <t xml:space="preserve">                        </t>
    </r>
  </si>
  <si>
    <r>
      <t>RHOproduct</t>
    </r>
    <r>
      <rPr>
        <sz val="8"/>
        <color indexed="10"/>
        <rFont val="Univers"/>
        <family val="2"/>
      </rPr>
      <t xml:space="preserve"> </t>
    </r>
    <r>
      <rPr>
        <sz val="8"/>
        <rFont val="Univers"/>
        <family val="2"/>
      </rPr>
      <t xml:space="preserve">[kg.l-1]     </t>
    </r>
  </si>
  <si>
    <t xml:space="preserve">Q**leach,time1 [mg.m-2]                           a        </t>
  </si>
  <si>
    <t xml:space="preserve">Q**leach,time2 [mg.m-2]                                   a </t>
  </si>
  <si>
    <t xml:space="preserve">Q*leach,time2 [mg.m-2]                         </t>
  </si>
  <si>
    <t xml:space="preserve">Q*leach,time2 [mg.m-2]                       </t>
  </si>
  <si>
    <t xml:space="preserve">Q*leach,time2 [mg.m-2]                                   </t>
  </si>
  <si>
    <t xml:space="preserve">Fair                       </t>
  </si>
  <si>
    <t xml:space="preserve">Ffacilitydrain           </t>
  </si>
  <si>
    <t xml:space="preserve">Fair                                    </t>
  </si>
  <si>
    <t xml:space="preserve">Ffacilitydrain                        </t>
  </si>
  <si>
    <t xml:space="preserve">Fair                               </t>
  </si>
  <si>
    <t xml:space="preserve">Ffacilitydrain                  </t>
  </si>
  <si>
    <t xml:space="preserve">Fair                              </t>
  </si>
  <si>
    <t xml:space="preserve">Q*leach,time1 [mg.m-2]                         </t>
  </si>
  <si>
    <t xml:space="preserve">Qproduct-fluid [l.m-2]                                        </t>
  </si>
  <si>
    <t xml:space="preserve">Qapplic,product [kg.m-3]                              </t>
  </si>
  <si>
    <t>Qapplic,product [kg.m-3]</t>
  </si>
  <si>
    <t>2. I have included again Footnotes in Summary spreadsheet, regarding the question at the course.</t>
  </si>
  <si>
    <t>3. In Dipping-immersion scenario:</t>
  </si>
  <si>
    <t>5. Note added o Summary spreadsheet.</t>
  </si>
  <si>
    <t xml:space="preserve">   In glossary only Qproduct-fluid, Qproduct-solid and Qapplic,product can be found: No Qproduct term can be found there. </t>
  </si>
  <si>
    <t xml:space="preserve">   You can delete all of the results not relevant for your evaluation."</t>
  </si>
  <si>
    <t>Brushing house outdoor-application</t>
  </si>
  <si>
    <t>TIME</t>
  </si>
  <si>
    <t>C-LOCALsoil1,leach,time,amat. [mg.kgwwt-1]</t>
  </si>
  <si>
    <t>C-LOCALsoil1,leach,time,prof. [mg.kgwwt-1]</t>
  </si>
  <si>
    <t>C-LOCALsoil2,leach,time,amat. [mg.kgwwt-1]</t>
  </si>
  <si>
    <t>C-LOCALsoil2,leach,time,prof. [mg.kgwwt-1]</t>
  </si>
  <si>
    <t>C-LOCALsoil3,leach,time,amat. [mg.kgwwt-1]</t>
  </si>
  <si>
    <t>C-LOCALsoil3,leach,time,prof. [mg.kgwwt-1]</t>
  </si>
  <si>
    <t xml:space="preserve">6. Brushing house outdoor is a scenario only for application where parameters "Time1" and "Time2" are </t>
  </si>
  <si>
    <t xml:space="preserve">    NOT used and not for service life where the time parameter is used, so we have removed the second sheet. </t>
  </si>
  <si>
    <t>1. Vapour pressure link to Summary page from all sheets instead to previous sheet.</t>
  </si>
  <si>
    <t xml:space="preserve">   Water solubility link to Summary page from all sheets instead to previous sheet.</t>
  </si>
  <si>
    <t>4. Some of the cells with numbers were changed just to see more decimals.</t>
  </si>
  <si>
    <t xml:space="preserve">   "Numbers existing in the Summary spreadsheet are there because default values are already included in all scenarios. </t>
  </si>
  <si>
    <t xml:space="preserve">    "Values for Time2 are the recommendation of the EUBEES group."</t>
  </si>
  <si>
    <t xml:space="preserve">   * This will allow you to delete any sheet that you have not used for evaluation.</t>
  </si>
  <si>
    <r>
      <t xml:space="preserve">   To my opinion  </t>
    </r>
    <r>
      <rPr>
        <b/>
        <sz val="11"/>
        <rFont val="Univers"/>
        <family val="0"/>
      </rPr>
      <t>Qproduct</t>
    </r>
    <r>
      <rPr>
        <sz val="11"/>
        <rFont val="Univers"/>
        <family val="0"/>
      </rPr>
      <t xml:space="preserve"> should be changed to </t>
    </r>
    <r>
      <rPr>
        <b/>
        <sz val="11"/>
        <rFont val="Univers"/>
        <family val="0"/>
      </rPr>
      <t>Qapplic,product</t>
    </r>
    <r>
      <rPr>
        <sz val="11"/>
        <rFont val="Univers"/>
        <family val="0"/>
      </rPr>
      <t xml:space="preserve"> . </t>
    </r>
  </si>
  <si>
    <r>
      <t>C-LO</t>
    </r>
    <r>
      <rPr>
        <sz val="8"/>
        <rFont val="Univers"/>
        <family val="2"/>
      </rPr>
      <t>CALsoil,applic [mg.kgwwt-1]</t>
    </r>
  </si>
  <si>
    <t>k[d-1]</t>
  </si>
  <si>
    <t>Esoil,leach,time2[kg.d-1]</t>
  </si>
  <si>
    <t>Esoil,leach,time1[kg.d-1]</t>
  </si>
  <si>
    <t>#</t>
  </si>
  <si>
    <t>Cell</t>
  </si>
  <si>
    <t>Error/action</t>
  </si>
  <si>
    <t>Proposal</t>
  </si>
  <si>
    <t>Worksheet: Changes made</t>
  </si>
  <si>
    <t>A1; A2</t>
  </si>
  <si>
    <t>previou</t>
  </si>
  <si>
    <t>previous</t>
  </si>
  <si>
    <t>A2</t>
  </si>
  <si>
    <t>Vater</t>
  </si>
  <si>
    <t>Water</t>
  </si>
  <si>
    <t>A3</t>
  </si>
  <si>
    <t>alow</t>
  </si>
  <si>
    <t>allow</t>
  </si>
  <si>
    <t>A11</t>
  </si>
  <si>
    <t>fildes</t>
  </si>
  <si>
    <t>files</t>
  </si>
  <si>
    <t>A14</t>
  </si>
  <si>
    <t>alreday</t>
  </si>
  <si>
    <t>already</t>
  </si>
  <si>
    <t>A16</t>
  </si>
  <si>
    <t>recomendation</t>
  </si>
  <si>
    <t>recommendation</t>
  </si>
  <si>
    <t>Worksheet Automated spraying</t>
  </si>
  <si>
    <t>C11</t>
  </si>
  <si>
    <t>PRODUCT(G7:G9;0.01)</t>
  </si>
  <si>
    <t>G10</t>
  </si>
  <si>
    <t>C20</t>
  </si>
  <si>
    <t>B21</t>
  </si>
  <si>
    <t>Insert new parameter name</t>
  </si>
  <si>
    <t>Esoil,leach,time1 [kg.d-1]</t>
  </si>
  <si>
    <t>C21</t>
  </si>
  <si>
    <t>Insert new formula</t>
  </si>
  <si>
    <t>B23</t>
  </si>
  <si>
    <t>C-LOCALsoil,applic [mg.kgwwt-1]</t>
  </si>
  <si>
    <t>B24</t>
  </si>
  <si>
    <t>Insert new parameter</t>
  </si>
  <si>
    <t>C24</t>
  </si>
  <si>
    <t>Insert new formula (according to equation 7.7 ESD PT8)</t>
  </si>
  <si>
    <t>E23.H23</t>
  </si>
  <si>
    <t>Extend Input range</t>
  </si>
  <si>
    <t>F23</t>
  </si>
  <si>
    <t>k [d-1]</t>
  </si>
  <si>
    <t>G23</t>
  </si>
  <si>
    <t>Insert value of rate constant</t>
  </si>
  <si>
    <t>H24</t>
  </si>
  <si>
    <t>Insert type of parameter</t>
  </si>
  <si>
    <t>C20.C26</t>
  </si>
  <si>
    <t>Change format to scientific notation</t>
  </si>
  <si>
    <t>Worksheet  Automated spraying 2</t>
  </si>
  <si>
    <t>Esoil,leach,time2 [kg.d-1]</t>
  </si>
  <si>
    <t xml:space="preserve"> =PRODUCT(G15:G18;)/1000000</t>
  </si>
  <si>
    <t xml:space="preserve"> =PRODUCT(G15:G18)/1000000</t>
  </si>
  <si>
    <t xml:space="preserve"> =C20/G18</t>
  </si>
  <si>
    <t xml:space="preserve"> =C21/(PRODUCT(G21:G23))+(1/PRODUCT(G18;G23))*(C23-(C21/(PRODUCT(G21:G23))*(1-EXP(-PRODUCT(G18;G23)))))</t>
  </si>
  <si>
    <t>7. Several changes made:</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</si>
</sst>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fl&quot;\ #,##0_-;&quot;fl&quot;\ #,##0\-"/>
    <numFmt numFmtId="179" formatCode="&quot;fl&quot;\ #,##0_-;[Red]&quot;fl&quot;\ #,##0\-"/>
    <numFmt numFmtId="180" formatCode="&quot;fl&quot;\ #,##0.00_-;&quot;fl&quot;\ #,##0.00\-"/>
    <numFmt numFmtId="181" formatCode="&quot;fl&quot;\ #,##0.00_-;[Red]&quot;fl&quot;\ #,##0.00\-"/>
    <numFmt numFmtId="182" formatCode="_-&quot;fl&quot;\ * #,##0_-;_-&quot;fl&quot;\ * #,##0\-;_-&quot;fl&quot;\ * &quot;-&quot;_-;_-@_-"/>
    <numFmt numFmtId="183" formatCode="_-* #,##0_-;_-* #,##0\-;_-* &quot;-&quot;_-;_-@_-"/>
    <numFmt numFmtId="184" formatCode="_-&quot;fl&quot;\ * #,##0.00_-;_-&quot;fl&quot;\ * #,##0.00\-;_-&quot;fl&quot;\ * &quot;-&quot;??_-;_-@_-"/>
    <numFmt numFmtId="185" formatCode="_-* #,##0.00_-;_-* #,##0.00\-;_-* &quot;-&quot;??_-;_-@_-"/>
    <numFmt numFmtId="186" formatCode="0.0000"/>
    <numFmt numFmtId="187" formatCode="0.000000"/>
    <numFmt numFmtId="188" formatCode="0.000"/>
    <numFmt numFmtId="189" formatCode="0.00000"/>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0.000E+00"/>
  </numFmts>
  <fonts count="22">
    <font>
      <sz val="11"/>
      <name val="Univers"/>
      <family val="0"/>
    </font>
    <font>
      <sz val="8"/>
      <name val="Univers"/>
      <family val="2"/>
    </font>
    <font>
      <b/>
      <sz val="8"/>
      <name val="Univers"/>
      <family val="2"/>
    </font>
    <font>
      <sz val="8"/>
      <color indexed="10"/>
      <name val="Univers"/>
      <family val="2"/>
    </font>
    <font>
      <b/>
      <sz val="14"/>
      <color indexed="14"/>
      <name val="Univers"/>
      <family val="2"/>
    </font>
    <font>
      <sz val="4"/>
      <name val="Univers"/>
      <family val="2"/>
    </font>
    <font>
      <b/>
      <sz val="8"/>
      <color indexed="10"/>
      <name val="Univers"/>
      <family val="2"/>
    </font>
    <font>
      <u val="single"/>
      <sz val="13.2"/>
      <color indexed="12"/>
      <name val="Univers"/>
      <family val="0"/>
    </font>
    <font>
      <u val="single"/>
      <sz val="13.2"/>
      <color indexed="36"/>
      <name val="Univers"/>
      <family val="0"/>
    </font>
    <font>
      <sz val="10"/>
      <name val="Univers"/>
      <family val="2"/>
    </font>
    <font>
      <b/>
      <sz val="10"/>
      <name val="Univers"/>
      <family val="2"/>
    </font>
    <font>
      <b/>
      <sz val="9"/>
      <color indexed="14"/>
      <name val="Univers"/>
      <family val="2"/>
    </font>
    <font>
      <sz val="10"/>
      <color indexed="8"/>
      <name val="Univers"/>
      <family val="2"/>
    </font>
    <font>
      <sz val="8"/>
      <color indexed="62"/>
      <name val="Univers"/>
      <family val="2"/>
    </font>
    <font>
      <sz val="8"/>
      <name val="Tahoma"/>
      <family val="0"/>
    </font>
    <font>
      <sz val="12"/>
      <name val="Tahoma"/>
      <family val="2"/>
    </font>
    <font>
      <sz val="8"/>
      <color indexed="8"/>
      <name val="Univers"/>
      <family val="2"/>
    </font>
    <font>
      <sz val="7"/>
      <name val="Univers"/>
      <family val="2"/>
    </font>
    <font>
      <b/>
      <sz val="11"/>
      <name val="Univers"/>
      <family val="0"/>
    </font>
    <font>
      <sz val="10"/>
      <name val="Times New Roman"/>
      <family val="1"/>
    </font>
    <font>
      <sz val="12"/>
      <name val="Times New Roman"/>
      <family val="1"/>
    </font>
    <font>
      <b/>
      <sz val="10"/>
      <name val="Times New Roman"/>
      <family val="1"/>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63">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style="double"/>
      <bottom style="double"/>
    </border>
    <border>
      <left>
        <color indexed="63"/>
      </left>
      <right style="thin"/>
      <top style="medium"/>
      <bottom style="thin"/>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horizontal="right"/>
    </xf>
    <xf numFmtId="0" fontId="1" fillId="3" borderId="6" xfId="0" applyFont="1" applyFill="1" applyBorder="1" applyAlignment="1">
      <alignment/>
    </xf>
    <xf numFmtId="0" fontId="1" fillId="4" borderId="0" xfId="0" applyFont="1" applyFill="1" applyBorder="1" applyAlignment="1">
      <alignment/>
    </xf>
    <xf numFmtId="0" fontId="1" fillId="4" borderId="7" xfId="0" applyFont="1" applyFill="1" applyBorder="1" applyAlignment="1">
      <alignment/>
    </xf>
    <xf numFmtId="0" fontId="5" fillId="4" borderId="0" xfId="0" applyFont="1" applyFill="1" applyBorder="1" applyAlignment="1">
      <alignment/>
    </xf>
    <xf numFmtId="0" fontId="5" fillId="4" borderId="6" xfId="0" applyFont="1" applyFill="1" applyBorder="1" applyAlignment="1">
      <alignment/>
    </xf>
    <xf numFmtId="0" fontId="1" fillId="4" borderId="8" xfId="0" applyFont="1" applyFill="1" applyBorder="1" applyAlignment="1">
      <alignment/>
    </xf>
    <xf numFmtId="0" fontId="1" fillId="4" borderId="9" xfId="0" applyFont="1" applyFill="1" applyBorder="1" applyAlignment="1">
      <alignment/>
    </xf>
    <xf numFmtId="0" fontId="1" fillId="4" borderId="5" xfId="0" applyFont="1" applyFill="1" applyBorder="1" applyAlignment="1">
      <alignment/>
    </xf>
    <xf numFmtId="0" fontId="1" fillId="4" borderId="10" xfId="0" applyFont="1" applyFill="1" applyBorder="1" applyAlignment="1">
      <alignment/>
    </xf>
    <xf numFmtId="0" fontId="1" fillId="4" borderId="11" xfId="0" applyFont="1" applyFill="1" applyBorder="1" applyAlignment="1">
      <alignment horizontal="right"/>
    </xf>
    <xf numFmtId="0" fontId="1" fillId="4" borderId="12" xfId="0" applyFont="1" applyFill="1" applyBorder="1" applyAlignment="1">
      <alignment/>
    </xf>
    <xf numFmtId="0" fontId="1" fillId="4" borderId="6" xfId="0" applyFont="1" applyFill="1" applyBorder="1" applyAlignment="1">
      <alignment/>
    </xf>
    <xf numFmtId="0" fontId="5" fillId="4" borderId="13" xfId="0" applyFont="1" applyFill="1" applyBorder="1" applyAlignment="1">
      <alignment/>
    </xf>
    <xf numFmtId="0" fontId="1" fillId="4" borderId="13" xfId="0" applyFont="1" applyFill="1" applyBorder="1" applyAlignment="1">
      <alignment/>
    </xf>
    <xf numFmtId="0" fontId="1" fillId="4" borderId="14" xfId="0" applyFont="1" applyFill="1" applyBorder="1" applyAlignment="1">
      <alignment/>
    </xf>
    <xf numFmtId="0" fontId="1" fillId="4" borderId="11" xfId="0" applyFont="1" applyFill="1" applyBorder="1" applyAlignment="1">
      <alignment/>
    </xf>
    <xf numFmtId="0" fontId="1" fillId="4" borderId="3" xfId="0" applyFont="1" applyFill="1" applyBorder="1" applyAlignment="1">
      <alignment/>
    </xf>
    <xf numFmtId="0" fontId="1" fillId="4" borderId="4" xfId="0" applyFont="1" applyFill="1" applyBorder="1" applyAlignment="1">
      <alignment/>
    </xf>
    <xf numFmtId="0" fontId="1" fillId="4" borderId="15" xfId="0" applyFont="1" applyFill="1" applyBorder="1" applyAlignment="1">
      <alignment/>
    </xf>
    <xf numFmtId="0" fontId="1" fillId="4" borderId="16" xfId="0" applyFont="1" applyFill="1" applyBorder="1" applyAlignment="1">
      <alignment/>
    </xf>
    <xf numFmtId="0" fontId="1" fillId="2" borderId="17" xfId="0" applyFont="1" applyFill="1" applyBorder="1" applyAlignment="1">
      <alignment horizontal="right"/>
    </xf>
    <xf numFmtId="0" fontId="1" fillId="2" borderId="18" xfId="0" applyFont="1" applyFill="1" applyBorder="1" applyAlignment="1">
      <alignment horizontal="right"/>
    </xf>
    <xf numFmtId="0" fontId="1" fillId="4" borderId="18" xfId="0" applyFont="1" applyFill="1" applyBorder="1" applyAlignment="1">
      <alignment horizontal="right"/>
    </xf>
    <xf numFmtId="0" fontId="1" fillId="4" borderId="19" xfId="0" applyFont="1" applyFill="1" applyBorder="1" applyAlignment="1">
      <alignment/>
    </xf>
    <xf numFmtId="0" fontId="1" fillId="3" borderId="10" xfId="0" applyFont="1" applyFill="1" applyBorder="1" applyAlignment="1">
      <alignment horizontal="right"/>
    </xf>
    <xf numFmtId="0" fontId="2" fillId="3" borderId="13" xfId="0" applyFont="1" applyFill="1" applyBorder="1" applyAlignment="1">
      <alignment horizontal="right"/>
    </xf>
    <xf numFmtId="0" fontId="2" fillId="4" borderId="20" xfId="0" applyFont="1" applyFill="1" applyBorder="1" applyAlignment="1">
      <alignment horizontal="center"/>
    </xf>
    <xf numFmtId="0" fontId="1" fillId="4" borderId="21" xfId="0" applyFont="1" applyFill="1" applyBorder="1" applyAlignment="1">
      <alignment horizontal="center"/>
    </xf>
    <xf numFmtId="0" fontId="1" fillId="4" borderId="0" xfId="0" applyFont="1" applyFill="1" applyBorder="1" applyAlignment="1">
      <alignment horizontal="right"/>
    </xf>
    <xf numFmtId="0" fontId="2" fillId="4" borderId="0" xfId="0" applyFont="1" applyFill="1" applyBorder="1" applyAlignment="1">
      <alignment horizontal="right"/>
    </xf>
    <xf numFmtId="2" fontId="2" fillId="4" borderId="0" xfId="0" applyNumberFormat="1" applyFont="1" applyFill="1" applyBorder="1" applyAlignment="1">
      <alignment horizontal="right"/>
    </xf>
    <xf numFmtId="188" fontId="2" fillId="4" borderId="0" xfId="0" applyNumberFormat="1" applyFont="1" applyFill="1" applyBorder="1" applyAlignment="1">
      <alignment horizontal="right"/>
    </xf>
    <xf numFmtId="0" fontId="2" fillId="4" borderId="21" xfId="0" applyFont="1" applyFill="1" applyBorder="1" applyAlignment="1">
      <alignment horizontal="center"/>
    </xf>
    <xf numFmtId="0" fontId="2" fillId="4" borderId="19" xfId="0" applyFont="1" applyFill="1" applyBorder="1" applyAlignment="1">
      <alignment horizontal="center"/>
    </xf>
    <xf numFmtId="0" fontId="1" fillId="5" borderId="8" xfId="0" applyFont="1" applyFill="1" applyBorder="1" applyAlignment="1">
      <alignment horizontal="right"/>
    </xf>
    <xf numFmtId="0" fontId="1" fillId="5" borderId="9" xfId="0" applyFont="1" applyFill="1" applyBorder="1" applyAlignment="1">
      <alignment horizontal="right"/>
    </xf>
    <xf numFmtId="0" fontId="1" fillId="3" borderId="10" xfId="0" applyFont="1" applyFill="1" applyBorder="1" applyAlignment="1">
      <alignment/>
    </xf>
    <xf numFmtId="2" fontId="1" fillId="4" borderId="0" xfId="0" applyNumberFormat="1" applyFont="1" applyFill="1" applyBorder="1" applyAlignment="1">
      <alignment/>
    </xf>
    <xf numFmtId="188" fontId="1" fillId="4" borderId="0" xfId="0" applyNumberFormat="1" applyFont="1" applyFill="1" applyBorder="1" applyAlignment="1">
      <alignment/>
    </xf>
    <xf numFmtId="0" fontId="1" fillId="4" borderId="0" xfId="0" applyFont="1" applyFill="1" applyAlignment="1">
      <alignment/>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3" borderId="13" xfId="0" applyFont="1" applyFill="1" applyBorder="1" applyAlignment="1">
      <alignment/>
    </xf>
    <xf numFmtId="0" fontId="1" fillId="3" borderId="22" xfId="0" applyFont="1" applyFill="1" applyBorder="1" applyAlignment="1">
      <alignment/>
    </xf>
    <xf numFmtId="0" fontId="2" fillId="3" borderId="23" xfId="0" applyFont="1" applyFill="1" applyBorder="1" applyAlignment="1">
      <alignment/>
    </xf>
    <xf numFmtId="0" fontId="1" fillId="4" borderId="5" xfId="0" applyFont="1" applyFill="1" applyBorder="1" applyAlignment="1">
      <alignment horizontal="center"/>
    </xf>
    <xf numFmtId="0" fontId="1" fillId="3" borderId="11" xfId="0" applyFont="1" applyFill="1" applyBorder="1" applyAlignment="1">
      <alignment/>
    </xf>
    <xf numFmtId="0" fontId="2" fillId="3" borderId="12" xfId="0" applyFont="1" applyFill="1" applyBorder="1" applyAlignment="1">
      <alignment/>
    </xf>
    <xf numFmtId="0" fontId="2" fillId="3" borderId="23" xfId="0" applyFont="1" applyFill="1" applyBorder="1" applyAlignment="1">
      <alignment horizontal="right"/>
    </xf>
    <xf numFmtId="0" fontId="1" fillId="4" borderId="1" xfId="0" applyFont="1" applyFill="1" applyBorder="1" applyAlignment="1">
      <alignment/>
    </xf>
    <xf numFmtId="0" fontId="1" fillId="4" borderId="2" xfId="0" applyFont="1" applyFill="1" applyBorder="1" applyAlignment="1">
      <alignment/>
    </xf>
    <xf numFmtId="0" fontId="1" fillId="4" borderId="17" xfId="0" applyFont="1" applyFill="1" applyBorder="1" applyAlignment="1">
      <alignment/>
    </xf>
    <xf numFmtId="0" fontId="1" fillId="4" borderId="18" xfId="0" applyFont="1" applyFill="1" applyBorder="1" applyAlignment="1">
      <alignment/>
    </xf>
    <xf numFmtId="0" fontId="1" fillId="4" borderId="24" xfId="0" applyFont="1" applyFill="1" applyBorder="1" applyAlignment="1">
      <alignment/>
    </xf>
    <xf numFmtId="0" fontId="1" fillId="4" borderId="25" xfId="0" applyFont="1" applyFill="1" applyBorder="1" applyAlignment="1">
      <alignment/>
    </xf>
    <xf numFmtId="0" fontId="1" fillId="4" borderId="26" xfId="0" applyFont="1" applyFill="1" applyBorder="1" applyAlignment="1">
      <alignment/>
    </xf>
    <xf numFmtId="188" fontId="1" fillId="4" borderId="4" xfId="0" applyNumberFormat="1" applyFont="1" applyFill="1" applyBorder="1" applyAlignment="1">
      <alignment/>
    </xf>
    <xf numFmtId="0" fontId="1" fillId="4" borderId="27" xfId="0" applyFont="1" applyFill="1" applyBorder="1" applyAlignment="1">
      <alignment/>
    </xf>
    <xf numFmtId="189" fontId="1" fillId="4" borderId="4" xfId="0" applyNumberFormat="1" applyFont="1" applyFill="1" applyBorder="1" applyAlignment="1">
      <alignment/>
    </xf>
    <xf numFmtId="0" fontId="2" fillId="4" borderId="11" xfId="0" applyFont="1" applyFill="1" applyBorder="1" applyAlignment="1">
      <alignment horizontal="center"/>
    </xf>
    <xf numFmtId="0" fontId="5" fillId="4" borderId="0" xfId="0" applyFont="1" applyFill="1" applyAlignment="1">
      <alignment/>
    </xf>
    <xf numFmtId="0" fontId="1" fillId="4" borderId="0" xfId="0" applyFont="1" applyFill="1" applyBorder="1" applyAlignment="1">
      <alignment horizontal="center"/>
    </xf>
    <xf numFmtId="0" fontId="2" fillId="4" borderId="0" xfId="0" applyFont="1" applyFill="1" applyBorder="1" applyAlignment="1">
      <alignment horizontal="center"/>
    </xf>
    <xf numFmtId="0" fontId="1" fillId="4" borderId="20" xfId="0" applyFont="1" applyFill="1" applyBorder="1" applyAlignment="1">
      <alignment/>
    </xf>
    <xf numFmtId="0" fontId="2" fillId="3" borderId="10" xfId="0" applyFont="1" applyFill="1" applyBorder="1" applyAlignment="1">
      <alignment/>
    </xf>
    <xf numFmtId="0" fontId="1" fillId="3" borderId="28" xfId="0" applyFont="1" applyFill="1" applyBorder="1" applyAlignment="1">
      <alignment/>
    </xf>
    <xf numFmtId="0" fontId="2" fillId="3" borderId="29" xfId="0" applyFont="1" applyFill="1" applyBorder="1" applyAlignment="1">
      <alignment/>
    </xf>
    <xf numFmtId="0" fontId="1" fillId="2" borderId="17" xfId="0" applyFont="1" applyFill="1" applyBorder="1" applyAlignment="1">
      <alignment/>
    </xf>
    <xf numFmtId="0" fontId="1" fillId="2" borderId="18" xfId="0" applyFont="1" applyFill="1" applyBorder="1" applyAlignment="1">
      <alignment/>
    </xf>
    <xf numFmtId="186" fontId="1" fillId="4" borderId="16" xfId="0" applyNumberFormat="1" applyFont="1" applyFill="1" applyBorder="1" applyAlignment="1">
      <alignment/>
    </xf>
    <xf numFmtId="0" fontId="1" fillId="4" borderId="30" xfId="0" applyFont="1" applyFill="1" applyBorder="1" applyAlignment="1">
      <alignment/>
    </xf>
    <xf numFmtId="0" fontId="1" fillId="4" borderId="31" xfId="0" applyFont="1" applyFill="1" applyBorder="1" applyAlignment="1">
      <alignment/>
    </xf>
    <xf numFmtId="0" fontId="1" fillId="4" borderId="32" xfId="0" applyFont="1" applyFill="1" applyBorder="1" applyAlignment="1">
      <alignment/>
    </xf>
    <xf numFmtId="0" fontId="1" fillId="4" borderId="33" xfId="0" applyFont="1" applyFill="1" applyBorder="1" applyAlignment="1">
      <alignment/>
    </xf>
    <xf numFmtId="187" fontId="2" fillId="3" borderId="13" xfId="0" applyNumberFormat="1" applyFont="1" applyFill="1" applyBorder="1" applyAlignment="1">
      <alignment/>
    </xf>
    <xf numFmtId="186" fontId="2" fillId="3" borderId="13" xfId="0" applyNumberFormat="1" applyFont="1" applyFill="1" applyBorder="1" applyAlignment="1">
      <alignment/>
    </xf>
    <xf numFmtId="0" fontId="1" fillId="2" borderId="30" xfId="0" applyFont="1" applyFill="1" applyBorder="1" applyAlignment="1">
      <alignment/>
    </xf>
    <xf numFmtId="0" fontId="1" fillId="3" borderId="0" xfId="0" applyFont="1" applyFill="1" applyBorder="1" applyAlignment="1">
      <alignment/>
    </xf>
    <xf numFmtId="0" fontId="1" fillId="4" borderId="34" xfId="0" applyFont="1" applyFill="1" applyBorder="1" applyAlignment="1">
      <alignment/>
    </xf>
    <xf numFmtId="190" fontId="2" fillId="3" borderId="13" xfId="0" applyNumberFormat="1" applyFont="1" applyFill="1" applyBorder="1" applyAlignment="1">
      <alignment/>
    </xf>
    <xf numFmtId="0" fontId="1" fillId="3" borderId="7" xfId="0" applyFont="1" applyFill="1" applyBorder="1" applyAlignment="1">
      <alignment/>
    </xf>
    <xf numFmtId="0" fontId="1" fillId="6" borderId="5" xfId="0" applyFont="1" applyFill="1" applyBorder="1" applyAlignment="1">
      <alignment/>
    </xf>
    <xf numFmtId="0" fontId="1" fillId="6" borderId="6" xfId="0" applyFont="1" applyFill="1" applyBorder="1" applyAlignment="1">
      <alignment horizontal="right"/>
    </xf>
    <xf numFmtId="2" fontId="2" fillId="6" borderId="13" xfId="0" applyNumberFormat="1" applyFont="1" applyFill="1" applyBorder="1" applyAlignment="1">
      <alignment/>
    </xf>
    <xf numFmtId="0" fontId="1" fillId="6" borderId="22" xfId="0" applyFont="1" applyFill="1" applyBorder="1" applyAlignment="1">
      <alignment/>
    </xf>
    <xf numFmtId="0" fontId="2" fillId="6" borderId="23" xfId="0" applyFont="1" applyFill="1" applyBorder="1" applyAlignment="1">
      <alignment/>
    </xf>
    <xf numFmtId="0" fontId="1" fillId="6" borderId="6" xfId="0" applyFont="1" applyFill="1" applyBorder="1" applyAlignment="1">
      <alignment/>
    </xf>
    <xf numFmtId="0" fontId="1" fillId="6" borderId="28" xfId="0" applyFont="1" applyFill="1" applyBorder="1" applyAlignment="1">
      <alignment/>
    </xf>
    <xf numFmtId="0" fontId="2" fillId="6" borderId="29" xfId="0" applyFont="1" applyFill="1" applyBorder="1" applyAlignment="1">
      <alignment/>
    </xf>
    <xf numFmtId="0" fontId="1" fillId="6" borderId="11" xfId="0" applyFont="1" applyFill="1" applyBorder="1" applyAlignment="1">
      <alignment/>
    </xf>
    <xf numFmtId="0" fontId="2" fillId="6" borderId="13" xfId="0" applyFont="1" applyFill="1" applyBorder="1" applyAlignment="1">
      <alignment/>
    </xf>
    <xf numFmtId="0" fontId="2" fillId="6" borderId="12" xfId="0" applyFont="1" applyFill="1" applyBorder="1" applyAlignment="1">
      <alignment/>
    </xf>
    <xf numFmtId="0" fontId="1" fillId="6" borderId="0" xfId="0" applyFont="1" applyFill="1" applyBorder="1" applyAlignment="1">
      <alignment/>
    </xf>
    <xf numFmtId="0" fontId="1" fillId="6" borderId="0" xfId="0" applyFont="1" applyFill="1" applyBorder="1" applyAlignment="1">
      <alignment horizontal="right"/>
    </xf>
    <xf numFmtId="0" fontId="1" fillId="6" borderId="14" xfId="0" applyFont="1" applyFill="1" applyBorder="1" applyAlignment="1">
      <alignment/>
    </xf>
    <xf numFmtId="0" fontId="2" fillId="6" borderId="28" xfId="0" applyFont="1" applyFill="1" applyBorder="1" applyAlignment="1">
      <alignment/>
    </xf>
    <xf numFmtId="0" fontId="2" fillId="6" borderId="6" xfId="0" applyFont="1" applyFill="1" applyBorder="1" applyAlignment="1">
      <alignment/>
    </xf>
    <xf numFmtId="0" fontId="2" fillId="6" borderId="35" xfId="0" applyFont="1" applyFill="1" applyBorder="1" applyAlignment="1">
      <alignment/>
    </xf>
    <xf numFmtId="186" fontId="2" fillId="6" borderId="13" xfId="0" applyNumberFormat="1" applyFont="1" applyFill="1" applyBorder="1" applyAlignment="1">
      <alignment/>
    </xf>
    <xf numFmtId="2" fontId="2" fillId="6" borderId="12" xfId="0" applyNumberFormat="1" applyFont="1" applyFill="1" applyBorder="1" applyAlignment="1">
      <alignment/>
    </xf>
    <xf numFmtId="0" fontId="1" fillId="4" borderId="20" xfId="0" applyFont="1" applyFill="1" applyBorder="1" applyAlignment="1">
      <alignment horizontal="center"/>
    </xf>
    <xf numFmtId="0" fontId="3" fillId="4" borderId="0" xfId="0" applyFont="1" applyFill="1" applyBorder="1" applyAlignment="1">
      <alignment/>
    </xf>
    <xf numFmtId="0" fontId="1" fillId="7" borderId="5" xfId="0" applyFont="1" applyFill="1" applyBorder="1" applyAlignment="1">
      <alignment/>
    </xf>
    <xf numFmtId="0" fontId="2" fillId="7" borderId="10" xfId="0" applyFont="1" applyFill="1" applyBorder="1" applyAlignment="1">
      <alignment/>
    </xf>
    <xf numFmtId="0" fontId="1" fillId="7" borderId="6" xfId="0" applyFont="1" applyFill="1" applyBorder="1" applyAlignment="1">
      <alignment horizontal="right"/>
    </xf>
    <xf numFmtId="2" fontId="2" fillId="7" borderId="13" xfId="0" applyNumberFormat="1" applyFont="1" applyFill="1" applyBorder="1" applyAlignment="1">
      <alignment/>
    </xf>
    <xf numFmtId="0" fontId="1" fillId="7" borderId="6" xfId="0" applyFont="1" applyFill="1" applyBorder="1" applyAlignment="1">
      <alignment/>
    </xf>
    <xf numFmtId="0" fontId="1" fillId="7" borderId="28" xfId="0" applyFont="1" applyFill="1" applyBorder="1" applyAlignment="1">
      <alignment/>
    </xf>
    <xf numFmtId="0" fontId="2" fillId="7" borderId="29" xfId="0" applyFont="1" applyFill="1" applyBorder="1" applyAlignment="1">
      <alignment/>
    </xf>
    <xf numFmtId="0" fontId="1" fillId="7" borderId="13" xfId="0" applyFont="1" applyFill="1" applyBorder="1" applyAlignment="1">
      <alignment/>
    </xf>
    <xf numFmtId="0" fontId="1" fillId="7" borderId="11" xfId="0" applyFont="1" applyFill="1" applyBorder="1" applyAlignment="1">
      <alignment/>
    </xf>
    <xf numFmtId="0" fontId="1" fillId="7" borderId="12" xfId="0" applyFont="1" applyFill="1" applyBorder="1" applyAlignment="1">
      <alignment/>
    </xf>
    <xf numFmtId="0" fontId="1" fillId="7" borderId="10" xfId="0" applyFont="1" applyFill="1" applyBorder="1" applyAlignment="1">
      <alignment/>
    </xf>
    <xf numFmtId="0" fontId="2" fillId="7" borderId="13" xfId="0" applyFont="1" applyFill="1" applyBorder="1" applyAlignment="1">
      <alignment/>
    </xf>
    <xf numFmtId="186" fontId="2" fillId="7" borderId="13" xfId="0" applyNumberFormat="1" applyFont="1" applyFill="1" applyBorder="1" applyAlignment="1">
      <alignment/>
    </xf>
    <xf numFmtId="0" fontId="2" fillId="7" borderId="12" xfId="0" applyFont="1" applyFill="1" applyBorder="1" applyAlignment="1">
      <alignment/>
    </xf>
    <xf numFmtId="0" fontId="1" fillId="7" borderId="22" xfId="0" applyFont="1" applyFill="1" applyBorder="1" applyAlignment="1">
      <alignment/>
    </xf>
    <xf numFmtId="0" fontId="2" fillId="7" borderId="23" xfId="0" applyFont="1" applyFill="1" applyBorder="1" applyAlignment="1">
      <alignment/>
    </xf>
    <xf numFmtId="0" fontId="1" fillId="7" borderId="0" xfId="0" applyFont="1" applyFill="1" applyBorder="1" applyAlignment="1">
      <alignment/>
    </xf>
    <xf numFmtId="0" fontId="1" fillId="7" borderId="0" xfId="0" applyFont="1" applyFill="1" applyBorder="1" applyAlignment="1">
      <alignment horizontal="right"/>
    </xf>
    <xf numFmtId="0" fontId="1" fillId="7" borderId="14" xfId="0" applyFont="1" applyFill="1" applyBorder="1" applyAlignment="1">
      <alignment/>
    </xf>
    <xf numFmtId="2" fontId="2" fillId="3" borderId="13" xfId="0" applyNumberFormat="1" applyFont="1" applyFill="1" applyBorder="1" applyAlignment="1">
      <alignment/>
    </xf>
    <xf numFmtId="2" fontId="2" fillId="3" borderId="23" xfId="0" applyNumberFormat="1" applyFont="1" applyFill="1" applyBorder="1" applyAlignment="1">
      <alignment/>
    </xf>
    <xf numFmtId="0" fontId="1" fillId="3" borderId="35" xfId="0" applyFont="1" applyFill="1" applyBorder="1" applyAlignment="1">
      <alignment/>
    </xf>
    <xf numFmtId="0" fontId="1" fillId="3" borderId="0" xfId="0" applyFont="1" applyFill="1" applyBorder="1" applyAlignment="1">
      <alignment horizontal="right"/>
    </xf>
    <xf numFmtId="0" fontId="1" fillId="3" borderId="36" xfId="0" applyFont="1" applyFill="1" applyBorder="1" applyAlignment="1">
      <alignment/>
    </xf>
    <xf numFmtId="0" fontId="1" fillId="6" borderId="13" xfId="0" applyFont="1" applyFill="1" applyBorder="1" applyAlignment="1">
      <alignment/>
    </xf>
    <xf numFmtId="0" fontId="1" fillId="6" borderId="12" xfId="0" applyFont="1" applyFill="1" applyBorder="1" applyAlignment="1">
      <alignment/>
    </xf>
    <xf numFmtId="0" fontId="9" fillId="5" borderId="30" xfId="0" applyFont="1" applyFill="1" applyBorder="1" applyAlignment="1">
      <alignment horizontal="right"/>
    </xf>
    <xf numFmtId="0" fontId="9" fillId="5" borderId="37" xfId="0" applyFont="1" applyFill="1" applyBorder="1" applyAlignment="1">
      <alignment horizontal="right"/>
    </xf>
    <xf numFmtId="0" fontId="9" fillId="5" borderId="38" xfId="0" applyFont="1" applyFill="1" applyBorder="1" applyAlignment="1">
      <alignment/>
    </xf>
    <xf numFmtId="0" fontId="9" fillId="5" borderId="39" xfId="0" applyFont="1" applyFill="1" applyBorder="1" applyAlignment="1">
      <alignment/>
    </xf>
    <xf numFmtId="0" fontId="9" fillId="5" borderId="36" xfId="0" applyFont="1" applyFill="1" applyBorder="1" applyAlignment="1">
      <alignment/>
    </xf>
    <xf numFmtId="0" fontId="9" fillId="4" borderId="0" xfId="0" applyFont="1" applyFill="1" applyAlignment="1">
      <alignment/>
    </xf>
    <xf numFmtId="0" fontId="9" fillId="4" borderId="0" xfId="0" applyFont="1" applyFill="1" applyBorder="1" applyAlignment="1">
      <alignment/>
    </xf>
    <xf numFmtId="0" fontId="9" fillId="5" borderId="5" xfId="0" applyFont="1" applyFill="1" applyBorder="1" applyAlignment="1">
      <alignment/>
    </xf>
    <xf numFmtId="0" fontId="10" fillId="5" borderId="7" xfId="0" applyFont="1" applyFill="1" applyBorder="1" applyAlignment="1">
      <alignment/>
    </xf>
    <xf numFmtId="0" fontId="9" fillId="5" borderId="7" xfId="0" applyFont="1" applyFill="1" applyBorder="1" applyAlignment="1">
      <alignment/>
    </xf>
    <xf numFmtId="0" fontId="9" fillId="5" borderId="10" xfId="0" applyFont="1" applyFill="1" applyBorder="1" applyAlignment="1">
      <alignment/>
    </xf>
    <xf numFmtId="0" fontId="9" fillId="5" borderId="40" xfId="0" applyFont="1" applyFill="1" applyBorder="1" applyAlignment="1">
      <alignment/>
    </xf>
    <xf numFmtId="0" fontId="9" fillId="5" borderId="41" xfId="0" applyFont="1" applyFill="1" applyBorder="1" applyAlignment="1">
      <alignment/>
    </xf>
    <xf numFmtId="0" fontId="9" fillId="5" borderId="22" xfId="0" applyFont="1" applyFill="1" applyBorder="1" applyAlignment="1">
      <alignment/>
    </xf>
    <xf numFmtId="0" fontId="9" fillId="5" borderId="23" xfId="0" applyFont="1" applyFill="1" applyBorder="1" applyAlignment="1">
      <alignment/>
    </xf>
    <xf numFmtId="0" fontId="1" fillId="5" borderId="0" xfId="0" applyFont="1" applyFill="1" applyAlignment="1">
      <alignment/>
    </xf>
    <xf numFmtId="2" fontId="1" fillId="5" borderId="0" xfId="0" applyNumberFormat="1" applyFont="1" applyFill="1" applyAlignment="1">
      <alignment/>
    </xf>
    <xf numFmtId="0" fontId="1" fillId="5" borderId="0" xfId="0" applyFont="1" applyFill="1" applyBorder="1" applyAlignment="1">
      <alignment/>
    </xf>
    <xf numFmtId="20" fontId="1" fillId="5" borderId="0" xfId="0" applyNumberFormat="1" applyFont="1" applyFill="1" applyAlignment="1">
      <alignment/>
    </xf>
    <xf numFmtId="0" fontId="10" fillId="5" borderId="39" xfId="0" applyFont="1" applyFill="1" applyBorder="1" applyAlignment="1">
      <alignment/>
    </xf>
    <xf numFmtId="1" fontId="9" fillId="4" borderId="42" xfId="0" applyNumberFormat="1" applyFont="1" applyFill="1" applyBorder="1" applyAlignment="1" applyProtection="1">
      <alignment/>
      <protection/>
    </xf>
    <xf numFmtId="1" fontId="9" fillId="4" borderId="43" xfId="0" applyNumberFormat="1" applyFont="1" applyFill="1" applyBorder="1" applyAlignment="1" applyProtection="1">
      <alignment/>
      <protection/>
    </xf>
    <xf numFmtId="190" fontId="9" fillId="4" borderId="42" xfId="0" applyNumberFormat="1" applyFont="1" applyFill="1" applyBorder="1" applyAlignment="1" applyProtection="1">
      <alignment/>
      <protection/>
    </xf>
    <xf numFmtId="190" fontId="9" fillId="4" borderId="43" xfId="0" applyNumberFormat="1" applyFont="1" applyFill="1" applyBorder="1" applyAlignment="1" applyProtection="1">
      <alignment/>
      <protection/>
    </xf>
    <xf numFmtId="0" fontId="3" fillId="4" borderId="0" xfId="0" applyFont="1" applyFill="1" applyBorder="1" applyAlignment="1">
      <alignment/>
    </xf>
    <xf numFmtId="0" fontId="1" fillId="4" borderId="44" xfId="0" applyFont="1" applyFill="1" applyBorder="1" applyAlignment="1">
      <alignment/>
    </xf>
    <xf numFmtId="0" fontId="1" fillId="4" borderId="45" xfId="0" applyFont="1" applyFill="1" applyBorder="1" applyAlignment="1">
      <alignment/>
    </xf>
    <xf numFmtId="0" fontId="1" fillId="4" borderId="46" xfId="0" applyFont="1" applyFill="1" applyBorder="1" applyAlignment="1">
      <alignment/>
    </xf>
    <xf numFmtId="49" fontId="17" fillId="5" borderId="0" xfId="0" applyNumberFormat="1" applyFont="1" applyFill="1" applyAlignment="1">
      <alignment/>
    </xf>
    <xf numFmtId="0" fontId="17" fillId="5" borderId="0" xfId="0" applyFont="1" applyFill="1" applyAlignment="1">
      <alignment/>
    </xf>
    <xf numFmtId="0" fontId="1" fillId="4" borderId="21" xfId="0" applyFont="1" applyFill="1" applyBorder="1" applyAlignment="1" applyProtection="1">
      <alignment horizontal="center"/>
      <protection/>
    </xf>
    <xf numFmtId="0" fontId="1" fillId="4" borderId="10" xfId="0" applyFont="1" applyFill="1" applyBorder="1" applyAlignment="1" applyProtection="1">
      <alignment horizontal="center"/>
      <protection/>
    </xf>
    <xf numFmtId="0" fontId="1" fillId="4" borderId="47" xfId="0" applyFont="1" applyFill="1" applyBorder="1" applyAlignment="1" applyProtection="1">
      <alignment horizontal="center"/>
      <protection/>
    </xf>
    <xf numFmtId="0" fontId="1" fillId="4" borderId="7" xfId="0" applyFont="1" applyFill="1" applyBorder="1" applyAlignment="1" applyProtection="1">
      <alignment horizontal="center"/>
      <protection/>
    </xf>
    <xf numFmtId="0" fontId="1" fillId="4" borderId="34" xfId="0" applyFont="1" applyFill="1" applyBorder="1" applyAlignment="1" applyProtection="1">
      <alignment/>
      <protection/>
    </xf>
    <xf numFmtId="0" fontId="1" fillId="4" borderId="48" xfId="0" applyFont="1" applyFill="1" applyBorder="1" applyAlignment="1" applyProtection="1">
      <alignment horizontal="center"/>
      <protection/>
    </xf>
    <xf numFmtId="0" fontId="1" fillId="4" borderId="49" xfId="0" applyFont="1" applyFill="1" applyBorder="1" applyAlignment="1" applyProtection="1">
      <alignment/>
      <protection/>
    </xf>
    <xf numFmtId="0" fontId="1" fillId="4" borderId="49" xfId="0" applyFont="1" applyFill="1" applyBorder="1" applyAlignment="1" applyProtection="1">
      <alignment horizontal="center"/>
      <protection/>
    </xf>
    <xf numFmtId="0" fontId="1" fillId="4" borderId="42" xfId="0" applyFont="1" applyFill="1" applyBorder="1" applyAlignment="1" applyProtection="1">
      <alignment/>
      <protection/>
    </xf>
    <xf numFmtId="0" fontId="1" fillId="4" borderId="50" xfId="0" applyFont="1" applyFill="1" applyBorder="1" applyAlignment="1" applyProtection="1">
      <alignment/>
      <protection/>
    </xf>
    <xf numFmtId="0" fontId="1" fillId="4" borderId="51" xfId="0" applyFont="1" applyFill="1" applyBorder="1" applyAlignment="1" applyProtection="1">
      <alignment/>
      <protection/>
    </xf>
    <xf numFmtId="0" fontId="1" fillId="4" borderId="52" xfId="0" applyFont="1" applyFill="1" applyBorder="1" applyAlignment="1" applyProtection="1">
      <alignment/>
      <protection/>
    </xf>
    <xf numFmtId="0" fontId="1" fillId="4" borderId="53" xfId="0" applyFont="1" applyFill="1" applyBorder="1" applyAlignment="1" applyProtection="1">
      <alignment/>
      <protection/>
    </xf>
    <xf numFmtId="0" fontId="1" fillId="4" borderId="54" xfId="0" applyFont="1" applyFill="1" applyBorder="1" applyAlignment="1" applyProtection="1">
      <alignment/>
      <protection/>
    </xf>
    <xf numFmtId="0" fontId="1" fillId="4" borderId="7" xfId="0" applyFont="1" applyFill="1" applyBorder="1" applyAlignment="1" applyProtection="1">
      <alignment/>
      <protection/>
    </xf>
    <xf numFmtId="0" fontId="1" fillId="4" borderId="5" xfId="0" applyFont="1" applyFill="1" applyBorder="1" applyAlignment="1" applyProtection="1">
      <alignment/>
      <protection/>
    </xf>
    <xf numFmtId="0" fontId="9" fillId="4" borderId="43" xfId="0" applyFont="1" applyFill="1" applyBorder="1" applyAlignment="1" applyProtection="1">
      <alignment/>
      <protection/>
    </xf>
    <xf numFmtId="0" fontId="9" fillId="4" borderId="55" xfId="0" applyFont="1" applyFill="1" applyBorder="1" applyAlignment="1" applyProtection="1">
      <alignment/>
      <protection/>
    </xf>
    <xf numFmtId="0" fontId="9" fillId="4" borderId="42" xfId="0" applyFont="1" applyFill="1" applyBorder="1" applyAlignment="1" applyProtection="1">
      <alignment/>
      <protection/>
    </xf>
    <xf numFmtId="0" fontId="9" fillId="4" borderId="56" xfId="0" applyFont="1" applyFill="1" applyBorder="1" applyAlignment="1" applyProtection="1">
      <alignment/>
      <protection/>
    </xf>
    <xf numFmtId="0" fontId="9" fillId="4" borderId="0" xfId="0" applyFont="1" applyFill="1" applyBorder="1" applyAlignment="1" applyProtection="1">
      <alignment/>
      <protection/>
    </xf>
    <xf numFmtId="0" fontId="9" fillId="4" borderId="6" xfId="0" applyFont="1" applyFill="1" applyBorder="1" applyAlignment="1" applyProtection="1">
      <alignment/>
      <protection/>
    </xf>
    <xf numFmtId="0" fontId="9" fillId="4" borderId="50" xfId="0" applyFont="1" applyFill="1" applyBorder="1" applyAlignment="1" applyProtection="1">
      <alignment/>
      <protection/>
    </xf>
    <xf numFmtId="49" fontId="9" fillId="4" borderId="43" xfId="0" applyNumberFormat="1" applyFont="1" applyFill="1" applyBorder="1" applyAlignment="1" applyProtection="1">
      <alignment horizontal="right"/>
      <protection/>
    </xf>
    <xf numFmtId="49" fontId="9" fillId="4" borderId="55" xfId="0" applyNumberFormat="1" applyFont="1" applyFill="1" applyBorder="1" applyAlignment="1" applyProtection="1">
      <alignment horizontal="right"/>
      <protection/>
    </xf>
    <xf numFmtId="188" fontId="9" fillId="4" borderId="42" xfId="0" applyNumberFormat="1" applyFont="1" applyFill="1" applyBorder="1" applyAlignment="1" applyProtection="1">
      <alignment/>
      <protection/>
    </xf>
    <xf numFmtId="188" fontId="9" fillId="4" borderId="50" xfId="0" applyNumberFormat="1" applyFont="1" applyFill="1" applyBorder="1" applyAlignment="1" applyProtection="1">
      <alignment/>
      <protection/>
    </xf>
    <xf numFmtId="2" fontId="9" fillId="4" borderId="43" xfId="0" applyNumberFormat="1" applyFont="1" applyFill="1" applyBorder="1" applyAlignment="1" applyProtection="1">
      <alignment/>
      <protection/>
    </xf>
    <xf numFmtId="2" fontId="9" fillId="4" borderId="55" xfId="0" applyNumberFormat="1" applyFont="1" applyFill="1" applyBorder="1" applyAlignment="1" applyProtection="1">
      <alignment/>
      <protection/>
    </xf>
    <xf numFmtId="2" fontId="9" fillId="4" borderId="0" xfId="0" applyNumberFormat="1" applyFont="1" applyFill="1" applyBorder="1" applyAlignment="1" applyProtection="1">
      <alignment/>
      <protection/>
    </xf>
    <xf numFmtId="2" fontId="9" fillId="4" borderId="6" xfId="0" applyNumberFormat="1" applyFont="1" applyFill="1" applyBorder="1" applyAlignment="1" applyProtection="1">
      <alignment/>
      <protection/>
    </xf>
    <xf numFmtId="49" fontId="9" fillId="4" borderId="0" xfId="0" applyNumberFormat="1" applyFont="1" applyFill="1" applyBorder="1" applyAlignment="1" applyProtection="1">
      <alignment horizontal="right"/>
      <protection/>
    </xf>
    <xf numFmtId="49" fontId="9" fillId="4" borderId="6" xfId="0" applyNumberFormat="1" applyFont="1" applyFill="1" applyBorder="1" applyAlignment="1" applyProtection="1">
      <alignment horizontal="right"/>
      <protection/>
    </xf>
    <xf numFmtId="1" fontId="9" fillId="4" borderId="0" xfId="0" applyNumberFormat="1" applyFont="1" applyFill="1" applyBorder="1" applyAlignment="1" applyProtection="1">
      <alignment/>
      <protection/>
    </xf>
    <xf numFmtId="1" fontId="9" fillId="4" borderId="55" xfId="0" applyNumberFormat="1" applyFont="1" applyFill="1" applyBorder="1" applyAlignment="1" applyProtection="1">
      <alignment/>
      <protection/>
    </xf>
    <xf numFmtId="1" fontId="9" fillId="4" borderId="6" xfId="0" applyNumberFormat="1" applyFont="1" applyFill="1" applyBorder="1" applyAlignment="1" applyProtection="1">
      <alignment/>
      <protection/>
    </xf>
    <xf numFmtId="49" fontId="9" fillId="4" borderId="50" xfId="0" applyNumberFormat="1" applyFont="1" applyFill="1" applyBorder="1" applyAlignment="1" applyProtection="1">
      <alignment horizontal="right"/>
      <protection/>
    </xf>
    <xf numFmtId="2" fontId="9" fillId="4" borderId="42" xfId="0" applyNumberFormat="1" applyFont="1" applyFill="1" applyBorder="1" applyAlignment="1" applyProtection="1">
      <alignment/>
      <protection/>
    </xf>
    <xf numFmtId="2" fontId="9" fillId="4" borderId="50" xfId="0" applyNumberFormat="1" applyFont="1" applyFill="1" applyBorder="1" applyAlignment="1" applyProtection="1">
      <alignment/>
      <protection/>
    </xf>
    <xf numFmtId="186" fontId="9" fillId="4" borderId="43" xfId="0" applyNumberFormat="1" applyFont="1" applyFill="1" applyBorder="1" applyAlignment="1" applyProtection="1">
      <alignment/>
      <protection/>
    </xf>
    <xf numFmtId="188" fontId="9" fillId="4" borderId="43" xfId="0" applyNumberFormat="1" applyFont="1" applyFill="1" applyBorder="1" applyAlignment="1" applyProtection="1">
      <alignment/>
      <protection/>
    </xf>
    <xf numFmtId="2" fontId="9" fillId="4" borderId="56" xfId="0" applyNumberFormat="1" applyFont="1" applyFill="1" applyBorder="1" applyAlignment="1" applyProtection="1">
      <alignment/>
      <protection/>
    </xf>
    <xf numFmtId="189" fontId="9" fillId="4" borderId="0" xfId="0" applyNumberFormat="1" applyFont="1" applyFill="1" applyBorder="1" applyAlignment="1" applyProtection="1">
      <alignment/>
      <protection/>
    </xf>
    <xf numFmtId="189" fontId="9" fillId="4" borderId="55" xfId="0" applyNumberFormat="1" applyFont="1" applyFill="1" applyBorder="1" applyAlignment="1" applyProtection="1">
      <alignment/>
      <protection/>
    </xf>
    <xf numFmtId="188" fontId="9" fillId="4" borderId="6" xfId="0" applyNumberFormat="1" applyFont="1" applyFill="1" applyBorder="1" applyAlignment="1" applyProtection="1">
      <alignment/>
      <protection/>
    </xf>
    <xf numFmtId="186" fontId="9" fillId="4" borderId="56" xfId="0" applyNumberFormat="1" applyFont="1" applyFill="1" applyBorder="1" applyAlignment="1" applyProtection="1">
      <alignment/>
      <protection/>
    </xf>
    <xf numFmtId="189" fontId="9" fillId="4" borderId="43" xfId="0" applyNumberFormat="1" applyFont="1" applyFill="1" applyBorder="1" applyAlignment="1" applyProtection="1">
      <alignment/>
      <protection/>
    </xf>
    <xf numFmtId="189" fontId="9" fillId="4" borderId="56" xfId="0" applyNumberFormat="1" applyFont="1" applyFill="1" applyBorder="1" applyAlignment="1" applyProtection="1">
      <alignment/>
      <protection/>
    </xf>
    <xf numFmtId="190" fontId="9" fillId="4" borderId="55" xfId="0" applyNumberFormat="1" applyFont="1" applyFill="1" applyBorder="1" applyAlignment="1" applyProtection="1">
      <alignment/>
      <protection/>
    </xf>
    <xf numFmtId="49" fontId="9" fillId="4" borderId="42" xfId="0" applyNumberFormat="1" applyFont="1" applyFill="1" applyBorder="1" applyAlignment="1" applyProtection="1">
      <alignment horizontal="right"/>
      <protection/>
    </xf>
    <xf numFmtId="190" fontId="9" fillId="4" borderId="56" xfId="0" applyNumberFormat="1" applyFont="1" applyFill="1" applyBorder="1" applyAlignment="1" applyProtection="1">
      <alignment/>
      <protection/>
    </xf>
    <xf numFmtId="190" fontId="9" fillId="4" borderId="6" xfId="0" applyNumberFormat="1" applyFont="1" applyFill="1" applyBorder="1" applyAlignment="1" applyProtection="1">
      <alignment/>
      <protection/>
    </xf>
    <xf numFmtId="1" fontId="9" fillId="4" borderId="56" xfId="0" applyNumberFormat="1" applyFont="1" applyFill="1" applyBorder="1" applyAlignment="1" applyProtection="1">
      <alignment/>
      <protection/>
    </xf>
    <xf numFmtId="0" fontId="9" fillId="4" borderId="46" xfId="0" applyFont="1" applyFill="1" applyBorder="1" applyAlignment="1" applyProtection="1">
      <alignment/>
      <protection/>
    </xf>
    <xf numFmtId="0" fontId="9" fillId="4" borderId="57" xfId="0" applyFont="1" applyFill="1" applyBorder="1" applyAlignment="1" applyProtection="1">
      <alignment/>
      <protection/>
    </xf>
    <xf numFmtId="0" fontId="9" fillId="4" borderId="44" xfId="0" applyFont="1" applyFill="1" applyBorder="1" applyAlignment="1" applyProtection="1">
      <alignment/>
      <protection/>
    </xf>
    <xf numFmtId="0" fontId="9" fillId="4" borderId="58" xfId="0" applyFont="1" applyFill="1" applyBorder="1" applyAlignment="1" applyProtection="1">
      <alignment/>
      <protection/>
    </xf>
    <xf numFmtId="2" fontId="9" fillId="4" borderId="44" xfId="0" applyNumberFormat="1" applyFont="1" applyFill="1" applyBorder="1" applyAlignment="1" applyProtection="1">
      <alignment/>
      <protection/>
    </xf>
    <xf numFmtId="2" fontId="9" fillId="4" borderId="45" xfId="0" applyNumberFormat="1" applyFont="1" applyFill="1" applyBorder="1" applyAlignment="1" applyProtection="1">
      <alignment/>
      <protection/>
    </xf>
    <xf numFmtId="2" fontId="9" fillId="4" borderId="14" xfId="0" applyNumberFormat="1" applyFont="1" applyFill="1" applyBorder="1" applyAlignment="1" applyProtection="1">
      <alignment/>
      <protection/>
    </xf>
    <xf numFmtId="0" fontId="9" fillId="4" borderId="12" xfId="0" applyFont="1" applyFill="1" applyBorder="1" applyAlignment="1" applyProtection="1">
      <alignment/>
      <protection/>
    </xf>
    <xf numFmtId="0" fontId="1" fillId="0" borderId="0" xfId="0" applyFont="1" applyFill="1" applyAlignment="1" applyProtection="1">
      <alignment/>
      <protection/>
    </xf>
    <xf numFmtId="0" fontId="4" fillId="0" borderId="59" xfId="0" applyFont="1" applyBorder="1" applyAlignment="1" applyProtection="1">
      <alignment horizontal="right" vertical="top"/>
      <protection/>
    </xf>
    <xf numFmtId="0" fontId="9" fillId="5" borderId="5" xfId="0" applyFont="1" applyFill="1" applyBorder="1" applyAlignment="1" applyProtection="1">
      <alignment/>
      <protection/>
    </xf>
    <xf numFmtId="0" fontId="10" fillId="5" borderId="7" xfId="0" applyFont="1" applyFill="1" applyBorder="1" applyAlignment="1" applyProtection="1">
      <alignment/>
      <protection/>
    </xf>
    <xf numFmtId="0" fontId="9" fillId="5" borderId="7" xfId="0" applyFont="1" applyFill="1" applyBorder="1" applyAlignment="1" applyProtection="1">
      <alignment/>
      <protection/>
    </xf>
    <xf numFmtId="0" fontId="9" fillId="5" borderId="10" xfId="0" applyFont="1" applyFill="1" applyBorder="1" applyAlignment="1" applyProtection="1">
      <alignment/>
      <protection/>
    </xf>
    <xf numFmtId="0" fontId="9" fillId="0" borderId="0" xfId="0" applyFont="1" applyFill="1" applyAlignment="1" applyProtection="1">
      <alignment/>
      <protection/>
    </xf>
    <xf numFmtId="0" fontId="9" fillId="5" borderId="28" xfId="0" applyFont="1" applyFill="1" applyBorder="1" applyAlignment="1" applyProtection="1">
      <alignment/>
      <protection/>
    </xf>
    <xf numFmtId="0" fontId="9" fillId="5" borderId="35" xfId="0" applyFont="1" applyFill="1" applyBorder="1" applyAlignment="1" applyProtection="1">
      <alignment horizontal="right"/>
      <protection/>
    </xf>
    <xf numFmtId="0" fontId="9" fillId="5" borderId="35" xfId="0" applyFont="1" applyFill="1" applyBorder="1" applyAlignment="1" applyProtection="1">
      <alignment/>
      <protection/>
    </xf>
    <xf numFmtId="0" fontId="9" fillId="5" borderId="29" xfId="0" applyFont="1" applyFill="1" applyBorder="1" applyAlignment="1" applyProtection="1">
      <alignment/>
      <protection/>
    </xf>
    <xf numFmtId="0" fontId="9" fillId="5" borderId="40" xfId="0" applyFont="1" applyFill="1" applyBorder="1" applyAlignment="1" applyProtection="1">
      <alignment/>
      <protection/>
    </xf>
    <xf numFmtId="0" fontId="9" fillId="5" borderId="39" xfId="0" applyFont="1" applyFill="1" applyBorder="1" applyAlignment="1" applyProtection="1">
      <alignment horizontal="right"/>
      <protection/>
    </xf>
    <xf numFmtId="0" fontId="9" fillId="5" borderId="39" xfId="0" applyFont="1" applyFill="1" applyBorder="1" applyAlignment="1" applyProtection="1">
      <alignment/>
      <protection/>
    </xf>
    <xf numFmtId="0" fontId="9" fillId="5" borderId="41" xfId="0" applyFont="1" applyFill="1" applyBorder="1" applyAlignment="1" applyProtection="1">
      <alignment/>
      <protection/>
    </xf>
    <xf numFmtId="0" fontId="9" fillId="5" borderId="22" xfId="0" applyFont="1" applyFill="1" applyBorder="1" applyAlignment="1" applyProtection="1">
      <alignment/>
      <protection/>
    </xf>
    <xf numFmtId="0" fontId="9" fillId="5" borderId="36" xfId="0" applyFont="1" applyFill="1" applyBorder="1" applyAlignment="1" applyProtection="1">
      <alignment horizontal="right"/>
      <protection/>
    </xf>
    <xf numFmtId="0" fontId="9" fillId="5" borderId="36" xfId="0" applyFont="1" applyFill="1" applyBorder="1" applyAlignment="1" applyProtection="1">
      <alignment horizontal="left"/>
      <protection/>
    </xf>
    <xf numFmtId="0" fontId="9" fillId="5" borderId="36" xfId="0" applyFont="1" applyFill="1" applyBorder="1" applyAlignment="1" applyProtection="1">
      <alignment/>
      <protection/>
    </xf>
    <xf numFmtId="0" fontId="9" fillId="5" borderId="23" xfId="0" applyFont="1" applyFill="1" applyBorder="1" applyAlignment="1" applyProtection="1">
      <alignment/>
      <protection/>
    </xf>
    <xf numFmtId="0" fontId="9" fillId="4" borderId="0" xfId="0" applyFont="1" applyFill="1" applyBorder="1" applyAlignment="1" applyProtection="1">
      <alignment horizontal="right"/>
      <protection/>
    </xf>
    <xf numFmtId="0" fontId="9" fillId="4" borderId="13" xfId="0" applyFont="1" applyFill="1" applyBorder="1" applyAlignment="1" applyProtection="1">
      <alignment/>
      <protection/>
    </xf>
    <xf numFmtId="0" fontId="9" fillId="5" borderId="39" xfId="0" applyFont="1" applyFill="1" applyBorder="1" applyAlignment="1" applyProtection="1">
      <alignment horizontal="left"/>
      <protection/>
    </xf>
    <xf numFmtId="0" fontId="9" fillId="5" borderId="30" xfId="0" applyFont="1" applyFill="1" applyBorder="1" applyAlignment="1" applyProtection="1">
      <alignment/>
      <protection/>
    </xf>
    <xf numFmtId="0" fontId="9" fillId="5" borderId="37" xfId="0" applyFont="1" applyFill="1" applyBorder="1" applyAlignment="1" applyProtection="1">
      <alignment/>
      <protection/>
    </xf>
    <xf numFmtId="0" fontId="1" fillId="4" borderId="11" xfId="0" applyFont="1" applyFill="1" applyBorder="1" applyAlignment="1" applyProtection="1">
      <alignment/>
      <protection/>
    </xf>
    <xf numFmtId="0" fontId="2" fillId="4" borderId="14" xfId="0" applyFont="1" applyFill="1" applyBorder="1" applyAlignment="1" applyProtection="1">
      <alignment/>
      <protection/>
    </xf>
    <xf numFmtId="0" fontId="1" fillId="4" borderId="14" xfId="0" applyFont="1" applyFill="1" applyBorder="1" applyAlignment="1" applyProtection="1">
      <alignment/>
      <protection/>
    </xf>
    <xf numFmtId="0" fontId="1" fillId="4" borderId="12" xfId="0" applyFont="1" applyFill="1" applyBorder="1" applyAlignment="1" applyProtection="1">
      <alignment/>
      <protection/>
    </xf>
    <xf numFmtId="0" fontId="2" fillId="4" borderId="7"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4" borderId="47"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Alignment="1" applyProtection="1">
      <alignment/>
      <protection/>
    </xf>
    <xf numFmtId="0" fontId="1" fillId="0" borderId="0" xfId="0" applyFont="1" applyFill="1" applyBorder="1" applyAlignment="1" applyProtection="1">
      <alignment horizontal="center"/>
      <protection/>
    </xf>
    <xf numFmtId="0" fontId="9" fillId="4" borderId="48" xfId="0" applyFont="1" applyFill="1" applyBorder="1" applyAlignment="1" applyProtection="1">
      <alignment/>
      <protection/>
    </xf>
    <xf numFmtId="0" fontId="1" fillId="0" borderId="0" xfId="0" applyFont="1" applyFill="1" applyBorder="1" applyAlignment="1" applyProtection="1">
      <alignment/>
      <protection/>
    </xf>
    <xf numFmtId="0" fontId="12" fillId="4" borderId="0" xfId="0" applyFont="1" applyFill="1" applyBorder="1" applyAlignment="1" applyProtection="1">
      <alignment horizontal="right"/>
      <protection/>
    </xf>
    <xf numFmtId="0" fontId="9" fillId="4" borderId="48" xfId="0" applyFont="1" applyFill="1" applyBorder="1" applyAlignment="1" applyProtection="1">
      <alignment horizontal="left"/>
      <protection/>
    </xf>
    <xf numFmtId="188" fontId="1" fillId="0" borderId="0" xfId="0" applyNumberFormat="1" applyFont="1" applyFill="1" applyBorder="1" applyAlignment="1" applyProtection="1">
      <alignment/>
      <protection/>
    </xf>
    <xf numFmtId="2" fontId="1" fillId="0" borderId="0" xfId="0" applyNumberFormat="1" applyFont="1" applyFill="1" applyBorder="1" applyAlignment="1" applyProtection="1">
      <alignment/>
      <protection/>
    </xf>
    <xf numFmtId="190" fontId="1" fillId="0" borderId="0" xfId="0" applyNumberFormat="1" applyFont="1" applyFill="1" applyBorder="1" applyAlignment="1" applyProtection="1">
      <alignment/>
      <protection/>
    </xf>
    <xf numFmtId="0" fontId="9" fillId="4" borderId="14" xfId="0" applyFont="1" applyFill="1" applyBorder="1" applyAlignment="1" applyProtection="1">
      <alignment horizontal="right"/>
      <protection/>
    </xf>
    <xf numFmtId="0" fontId="6" fillId="6" borderId="11" xfId="0" applyFont="1" applyFill="1" applyBorder="1" applyAlignment="1">
      <alignment horizontal="right"/>
    </xf>
    <xf numFmtId="0" fontId="2" fillId="2" borderId="34" xfId="0" applyFont="1" applyFill="1" applyBorder="1" applyAlignment="1" applyProtection="1">
      <alignment/>
      <protection/>
    </xf>
    <xf numFmtId="0" fontId="2" fillId="2" borderId="49" xfId="0" applyFont="1" applyFill="1" applyBorder="1" applyAlignment="1" applyProtection="1">
      <alignment/>
      <protection/>
    </xf>
    <xf numFmtId="0" fontId="2" fillId="2" borderId="48" xfId="0" applyFont="1" applyFill="1" applyBorder="1" applyAlignment="1" applyProtection="1">
      <alignment/>
      <protection/>
    </xf>
    <xf numFmtId="0" fontId="2" fillId="3" borderId="34" xfId="0" applyFont="1" applyFill="1" applyBorder="1" applyAlignment="1" applyProtection="1">
      <alignment/>
      <protection/>
    </xf>
    <xf numFmtId="0" fontId="2" fillId="3" borderId="49" xfId="0" applyFont="1" applyFill="1" applyBorder="1" applyAlignment="1" applyProtection="1">
      <alignment/>
      <protection/>
    </xf>
    <xf numFmtId="0" fontId="1" fillId="2" borderId="34" xfId="0" applyFont="1" applyFill="1" applyBorder="1" applyAlignment="1" applyProtection="1">
      <alignment/>
      <protection/>
    </xf>
    <xf numFmtId="0" fontId="1" fillId="2" borderId="49" xfId="0" applyFont="1" applyFill="1" applyBorder="1" applyAlignment="1" applyProtection="1">
      <alignment/>
      <protection/>
    </xf>
    <xf numFmtId="0" fontId="2" fillId="2" borderId="10" xfId="0" applyFont="1" applyFill="1" applyBorder="1" applyAlignment="1" applyProtection="1">
      <alignment/>
      <protection/>
    </xf>
    <xf numFmtId="0" fontId="2" fillId="6" borderId="34" xfId="0" applyFont="1" applyFill="1" applyBorder="1" applyAlignment="1" applyProtection="1">
      <alignment/>
      <protection/>
    </xf>
    <xf numFmtId="0" fontId="2" fillId="6" borderId="49" xfId="0" applyFont="1" applyFill="1" applyBorder="1" applyAlignment="1" applyProtection="1">
      <alignment/>
      <protection/>
    </xf>
    <xf numFmtId="0" fontId="2" fillId="6" borderId="48" xfId="0" applyFont="1" applyFill="1" applyBorder="1" applyAlignment="1" applyProtection="1">
      <alignment/>
      <protection/>
    </xf>
    <xf numFmtId="0" fontId="1" fillId="6" borderId="34" xfId="0" applyFont="1" applyFill="1" applyBorder="1" applyAlignment="1" applyProtection="1">
      <alignment/>
      <protection/>
    </xf>
    <xf numFmtId="0" fontId="16" fillId="4" borderId="0" xfId="0" applyFont="1" applyFill="1" applyBorder="1" applyAlignment="1" applyProtection="1">
      <alignment horizontal="right"/>
      <protection/>
    </xf>
    <xf numFmtId="0" fontId="9" fillId="4" borderId="0" xfId="0" applyFont="1" applyFill="1" applyBorder="1" applyAlignment="1" applyProtection="1">
      <alignment horizontal="right"/>
      <protection/>
    </xf>
    <xf numFmtId="0" fontId="12" fillId="4" borderId="0" xfId="0" applyFont="1" applyFill="1" applyBorder="1" applyAlignment="1" applyProtection="1">
      <alignment horizontal="right"/>
      <protection/>
    </xf>
    <xf numFmtId="0" fontId="9" fillId="4" borderId="10" xfId="0" applyFont="1" applyFill="1" applyBorder="1" applyAlignment="1" applyProtection="1">
      <alignment horizontal="right"/>
      <protection/>
    </xf>
    <xf numFmtId="0" fontId="1" fillId="6" borderId="6" xfId="0" applyFont="1" applyFill="1" applyBorder="1" applyAlignment="1">
      <alignment horizontal="right"/>
    </xf>
    <xf numFmtId="0" fontId="9" fillId="5" borderId="38" xfId="0" applyFont="1" applyFill="1" applyBorder="1" applyAlignment="1" applyProtection="1">
      <alignment/>
      <protection/>
    </xf>
    <xf numFmtId="0" fontId="9" fillId="5" borderId="35" xfId="0" applyFont="1" applyFill="1" applyBorder="1" applyAlignment="1" applyProtection="1">
      <alignment horizontal="left"/>
      <protection/>
    </xf>
    <xf numFmtId="0" fontId="16" fillId="2" borderId="3" xfId="0" applyFont="1" applyFill="1" applyBorder="1" applyAlignment="1">
      <alignment/>
    </xf>
    <xf numFmtId="0" fontId="16" fillId="2" borderId="60" xfId="0" applyFont="1" applyFill="1" applyBorder="1" applyAlignment="1">
      <alignment/>
    </xf>
    <xf numFmtId="0" fontId="16" fillId="2" borderId="30" xfId="0" applyFont="1" applyFill="1" applyBorder="1" applyAlignment="1">
      <alignment/>
    </xf>
    <xf numFmtId="0" fontId="1" fillId="4" borderId="4" xfId="0" applyFont="1" applyFill="1" applyBorder="1" applyAlignment="1">
      <alignment horizontal="right"/>
    </xf>
    <xf numFmtId="0" fontId="17" fillId="4" borderId="0" xfId="0" applyFont="1" applyFill="1" applyBorder="1" applyAlignment="1">
      <alignment/>
    </xf>
    <xf numFmtId="0" fontId="0" fillId="5" borderId="0" xfId="0" applyFill="1" applyAlignment="1">
      <alignment/>
    </xf>
    <xf numFmtId="0" fontId="9" fillId="5" borderId="39" xfId="0" applyNumberFormat="1" applyFont="1" applyFill="1" applyBorder="1" applyAlignment="1" applyProtection="1">
      <alignment horizontal="right"/>
      <protection/>
    </xf>
    <xf numFmtId="0" fontId="0" fillId="5" borderId="0" xfId="0" applyFill="1" applyBorder="1" applyAlignment="1">
      <alignment/>
    </xf>
    <xf numFmtId="0" fontId="16" fillId="3" borderId="49" xfId="0" applyFont="1" applyFill="1" applyBorder="1" applyAlignment="1" applyProtection="1">
      <alignment horizontal="left"/>
      <protection/>
    </xf>
    <xf numFmtId="0" fontId="16" fillId="3" borderId="47" xfId="0" applyFont="1" applyFill="1" applyBorder="1" applyAlignment="1" applyProtection="1">
      <alignment horizontal="left"/>
      <protection/>
    </xf>
    <xf numFmtId="0" fontId="2" fillId="4" borderId="21" xfId="0" applyFont="1" applyFill="1" applyBorder="1" applyAlignment="1" applyProtection="1">
      <alignment horizontal="center" vertical="center" textRotation="90"/>
      <protection/>
    </xf>
    <xf numFmtId="0" fontId="2" fillId="4" borderId="20" xfId="0" applyFont="1" applyFill="1" applyBorder="1" applyAlignment="1" applyProtection="1">
      <alignment horizontal="center" vertical="center" textRotation="90"/>
      <protection/>
    </xf>
    <xf numFmtId="0" fontId="2" fillId="4" borderId="19" xfId="0" applyFont="1" applyFill="1" applyBorder="1" applyAlignment="1" applyProtection="1">
      <alignment horizontal="center" vertical="center" textRotation="90"/>
      <protection/>
    </xf>
    <xf numFmtId="0" fontId="1" fillId="3" borderId="34" xfId="0" applyFont="1" applyFill="1" applyBorder="1" applyAlignment="1" applyProtection="1">
      <alignment/>
      <protection/>
    </xf>
    <xf numFmtId="0" fontId="1" fillId="3" borderId="48" xfId="0" applyFont="1" applyFill="1" applyBorder="1" applyAlignment="1" applyProtection="1">
      <alignment/>
      <protection/>
    </xf>
    <xf numFmtId="0" fontId="2" fillId="4" borderId="34" xfId="0" applyFont="1" applyFill="1" applyBorder="1" applyAlignment="1" applyProtection="1">
      <alignment horizontal="center"/>
      <protection/>
    </xf>
    <xf numFmtId="0" fontId="2" fillId="4" borderId="49" xfId="0" applyFont="1" applyFill="1" applyBorder="1" applyAlignment="1" applyProtection="1">
      <alignment horizontal="center"/>
      <protection/>
    </xf>
    <xf numFmtId="0" fontId="2" fillId="4" borderId="48" xfId="0" applyFont="1" applyFill="1" applyBorder="1" applyAlignment="1" applyProtection="1">
      <alignment horizontal="center"/>
      <protection/>
    </xf>
    <xf numFmtId="0" fontId="11" fillId="0" borderId="61" xfId="0" applyFont="1" applyBorder="1" applyAlignment="1" applyProtection="1">
      <alignment wrapText="1"/>
      <protection/>
    </xf>
    <xf numFmtId="0" fontId="0" fillId="0" borderId="61" xfId="0" applyBorder="1" applyAlignment="1" applyProtection="1">
      <alignment/>
      <protection/>
    </xf>
    <xf numFmtId="0" fontId="0" fillId="0" borderId="62" xfId="0" applyBorder="1" applyAlignment="1" applyProtection="1">
      <alignment/>
      <protection/>
    </xf>
    <xf numFmtId="0" fontId="0" fillId="5" borderId="0" xfId="0" applyFont="1" applyFill="1" applyBorder="1" applyAlignment="1">
      <alignment/>
    </xf>
    <xf numFmtId="0" fontId="0" fillId="0" borderId="0" xfId="0" applyFont="1" applyAlignment="1">
      <alignment/>
    </xf>
    <xf numFmtId="0" fontId="1" fillId="6" borderId="11" xfId="0" applyFont="1" applyFill="1" applyBorder="1" applyAlignment="1">
      <alignment horizontal="right"/>
    </xf>
    <xf numFmtId="0" fontId="1" fillId="2" borderId="60" xfId="0" applyFont="1" applyFill="1" applyBorder="1" applyAlignment="1">
      <alignment/>
    </xf>
    <xf numFmtId="0" fontId="3" fillId="4" borderId="19" xfId="0" applyFont="1" applyFill="1" applyBorder="1" applyAlignment="1">
      <alignment/>
    </xf>
    <xf numFmtId="0" fontId="1" fillId="2" borderId="31" xfId="0" applyFont="1" applyFill="1" applyBorder="1" applyAlignment="1">
      <alignment/>
    </xf>
    <xf numFmtId="0" fontId="1" fillId="2" borderId="16" xfId="0" applyFont="1" applyFill="1" applyBorder="1" applyAlignment="1">
      <alignment horizontal="right"/>
    </xf>
    <xf numFmtId="0" fontId="1" fillId="2" borderId="27" xfId="0" applyFont="1" applyFill="1" applyBorder="1" applyAlignment="1">
      <alignment horizontal="right"/>
    </xf>
    <xf numFmtId="11" fontId="2" fillId="6" borderId="10" xfId="0" applyNumberFormat="1" applyFont="1" applyFill="1" applyBorder="1" applyAlignment="1">
      <alignment horizontal="right"/>
    </xf>
    <xf numFmtId="11" fontId="2" fillId="6" borderId="13" xfId="0" applyNumberFormat="1" applyFont="1" applyFill="1" applyBorder="1" applyAlignment="1">
      <alignment horizontal="right"/>
    </xf>
    <xf numFmtId="11" fontId="2" fillId="6" borderId="13" xfId="0" applyNumberFormat="1" applyFont="1" applyFill="1" applyBorder="1" applyAlignment="1" applyProtection="1">
      <alignment horizontal="right"/>
      <protection hidden="1"/>
    </xf>
    <xf numFmtId="11" fontId="2" fillId="6" borderId="12" xfId="0" applyNumberFormat="1" applyFont="1" applyFill="1" applyBorder="1" applyAlignment="1">
      <alignment horizontal="right"/>
    </xf>
    <xf numFmtId="11" fontId="6" fillId="6" borderId="12" xfId="0" applyNumberFormat="1" applyFont="1" applyFill="1" applyBorder="1" applyAlignment="1">
      <alignment horizontal="right"/>
    </xf>
    <xf numFmtId="11" fontId="2" fillId="6" borderId="13" xfId="0" applyNumberFormat="1" applyFont="1" applyFill="1" applyBorder="1" applyAlignment="1">
      <alignment/>
    </xf>
    <xf numFmtId="11" fontId="2" fillId="6" borderId="10" xfId="0" applyNumberFormat="1" applyFont="1" applyFill="1" applyBorder="1" applyAlignment="1">
      <alignment/>
    </xf>
    <xf numFmtId="11" fontId="2" fillId="6" borderId="12" xfId="0" applyNumberFormat="1" applyFont="1" applyFill="1" applyBorder="1" applyAlignment="1">
      <alignment/>
    </xf>
    <xf numFmtId="0" fontId="19" fillId="5" borderId="0" xfId="0" applyFont="1" applyFill="1" applyBorder="1" applyAlignment="1">
      <alignment vertical="top" wrapText="1"/>
    </xf>
    <xf numFmtId="0" fontId="20" fillId="5" borderId="0" xfId="0" applyFont="1" applyFill="1" applyBorder="1" applyAlignment="1">
      <alignment wrapText="1"/>
    </xf>
    <xf numFmtId="0" fontId="19" fillId="0" borderId="4" xfId="0" applyFont="1" applyBorder="1" applyAlignment="1">
      <alignment vertical="top" wrapText="1"/>
    </xf>
    <xf numFmtId="0" fontId="19" fillId="0" borderId="4" xfId="0" applyFont="1" applyBorder="1" applyAlignment="1">
      <alignment horizontal="left" vertical="top" wrapText="1"/>
    </xf>
    <xf numFmtId="20" fontId="19" fillId="0" borderId="4" xfId="0" applyNumberFormat="1" applyFont="1" applyBorder="1" applyAlignment="1">
      <alignment vertical="top" wrapText="1"/>
    </xf>
    <xf numFmtId="0" fontId="21" fillId="0" borderId="4" xfId="0" applyFont="1" applyBorder="1" applyAlignment="1">
      <alignment vertical="top" wrapText="1"/>
    </xf>
    <xf numFmtId="20" fontId="19" fillId="0" borderId="4" xfId="0" applyNumberFormat="1"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18</xdr:col>
      <xdr:colOff>0</xdr:colOff>
      <xdr:row>59</xdr:row>
      <xdr:rowOff>85725</xdr:rowOff>
    </xdr:to>
    <xdr:sp>
      <xdr:nvSpPr>
        <xdr:cNvPr id="1" name="TextBox 10"/>
        <xdr:cNvSpPr txBox="1">
          <a:spLocks noChangeArrowheads="1"/>
        </xdr:cNvSpPr>
      </xdr:nvSpPr>
      <xdr:spPr>
        <a:xfrm>
          <a:off x="0" y="9410700"/>
          <a:ext cx="15887700"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(1) Unity of Qai is [kg.m-3]. Note that the units for active ingredient application rate are different in Automated Spraying and Dipping-immersion scenarios.
(2) These values are calculated with varying volumes of receiving soil which are dependent on the distances to the treated material. The distances are 2.5, 10 and 50 cm, respectively.
(3) These values are calculated for application by amateurs
(4) These values are calculated for application by professionals
Numbers existing in the Summary spreadsheet are there because default values are alreday included in all scenarios. You can delete all of the results not relevant for your evaluation. 
Values for Time2 are the recomendation of the EUBEES group.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28575</xdr:rowOff>
    </xdr:from>
    <xdr:to>
      <xdr:col>2</xdr:col>
      <xdr:colOff>428625</xdr:colOff>
      <xdr:row>31</xdr:row>
      <xdr:rowOff>57150</xdr:rowOff>
    </xdr:to>
    <xdr:sp>
      <xdr:nvSpPr>
        <xdr:cNvPr id="1" name="TextBox 3"/>
        <xdr:cNvSpPr txBox="1">
          <a:spLocks noChangeArrowheads="1"/>
        </xdr:cNvSpPr>
      </xdr:nvSpPr>
      <xdr:spPr>
        <a:xfrm>
          <a:off x="9525" y="412432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28575</xdr:rowOff>
    </xdr:from>
    <xdr:to>
      <xdr:col>2</xdr:col>
      <xdr:colOff>419100</xdr:colOff>
      <xdr:row>31</xdr:row>
      <xdr:rowOff>57150</xdr:rowOff>
    </xdr:to>
    <xdr:sp>
      <xdr:nvSpPr>
        <xdr:cNvPr id="1" name="TextBox 2"/>
        <xdr:cNvSpPr txBox="1">
          <a:spLocks noChangeArrowheads="1"/>
        </xdr:cNvSpPr>
      </xdr:nvSpPr>
      <xdr:spPr>
        <a:xfrm>
          <a:off x="0" y="412432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28575</xdr:rowOff>
    </xdr:from>
    <xdr:to>
      <xdr:col>2</xdr:col>
      <xdr:colOff>419100</xdr:colOff>
      <xdr:row>32</xdr:row>
      <xdr:rowOff>57150</xdr:rowOff>
    </xdr:to>
    <xdr:sp>
      <xdr:nvSpPr>
        <xdr:cNvPr id="1" name="TextBox 3"/>
        <xdr:cNvSpPr txBox="1">
          <a:spLocks noChangeArrowheads="1"/>
        </xdr:cNvSpPr>
      </xdr:nvSpPr>
      <xdr:spPr>
        <a:xfrm>
          <a:off x="0" y="424815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19050</xdr:rowOff>
    </xdr:from>
    <xdr:to>
      <xdr:col>2</xdr:col>
      <xdr:colOff>419100</xdr:colOff>
      <xdr:row>32</xdr:row>
      <xdr:rowOff>47625</xdr:rowOff>
    </xdr:to>
    <xdr:sp>
      <xdr:nvSpPr>
        <xdr:cNvPr id="1" name="TextBox 2"/>
        <xdr:cNvSpPr txBox="1">
          <a:spLocks noChangeArrowheads="1"/>
        </xdr:cNvSpPr>
      </xdr:nvSpPr>
      <xdr:spPr>
        <a:xfrm>
          <a:off x="0" y="423862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57150</xdr:rowOff>
    </xdr:from>
    <xdr:to>
      <xdr:col>8</xdr:col>
      <xdr:colOff>514350</xdr:colOff>
      <xdr:row>38</xdr:row>
      <xdr:rowOff>76200</xdr:rowOff>
    </xdr:to>
    <xdr:sp>
      <xdr:nvSpPr>
        <xdr:cNvPr id="1" name="TextBox 1"/>
        <xdr:cNvSpPr txBox="1">
          <a:spLocks noChangeArrowheads="1"/>
        </xdr:cNvSpPr>
      </xdr:nvSpPr>
      <xdr:spPr>
        <a:xfrm>
          <a:off x="0" y="4724400"/>
          <a:ext cx="96012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a   </a:t>
          </a:r>
          <a:r>
            <a:rPr lang="en-US" cap="none" sz="800" b="0" i="0" u="none" baseline="0">
              <a:solidFill>
                <a:srgbClr val="000000"/>
              </a:solidFill>
              <a:latin typeface="Univers"/>
              <a:ea typeface="Univers"/>
              <a:cs typeface="Univers"/>
            </a:rPr>
            <a:t>Q*leach, time1 is the emission from planks
     Q**leach, time1 is the emission from poles</a:t>
          </a:r>
          <a:r>
            <a:rPr lang="en-US" cap="none" sz="800" b="0" i="0" u="none" baseline="0">
              <a:solidFill>
                <a:srgbClr val="333399"/>
              </a:solidFill>
              <a:latin typeface="Univers"/>
              <a:ea typeface="Univers"/>
              <a:cs typeface="Univers"/>
            </a:rPr>
            <a:t>
</a:t>
          </a:r>
          <a:r>
            <a:rPr lang="en-US" cap="none" sz="800" b="0" i="0" u="none" baseline="0">
              <a:latin typeface="Univers"/>
              <a:ea typeface="Univers"/>
              <a:cs typeface="Univers"/>
            </a:rPr>
            <a:t>b</a:t>
          </a:r>
          <a:r>
            <a:rPr lang="en-US" cap="none" sz="800" b="0" i="0" u="none" baseline="0">
              <a:solidFill>
                <a:srgbClr val="FF0000"/>
              </a:solidFill>
              <a:latin typeface="Univers"/>
              <a:ea typeface="Univers"/>
              <a:cs typeface="Univers"/>
            </a:rPr>
            <a:t>   </a:t>
          </a:r>
          <a:r>
            <a:rPr lang="en-US" cap="none" sz="800" b="0" i="0" u="none" baseline="0">
              <a:solidFill>
                <a:srgbClr val="000000"/>
              </a:solidFill>
              <a:latin typeface="Univers"/>
              <a:ea typeface="Univers"/>
              <a:cs typeface="Univers"/>
            </a:rPr>
            <a:t>The user should note that where the residence time of the receiving water is taken into account as in the wharf scenario, the value to be chosed as the water volume should take this into account. For example, the water volume value (Vwater) to be used in the wharf scenario should for a 30-day assessment period be 30*2*1000m3 = 60 000 m3 due to the 0.5 day water residence time. </a:t>
          </a:r>
          <a:r>
            <a:rPr lang="en-US" cap="none" sz="800" b="0" i="0" u="none" baseline="0">
              <a:latin typeface="Univers"/>
              <a:ea typeface="Univers"/>
              <a:cs typeface="Univers"/>
            </a:rPr>
            <a:t>
</a:t>
          </a:r>
        </a:p>
      </xdr:txBody>
    </xdr:sp>
    <xdr:clientData/>
  </xdr:twoCellAnchor>
  <xdr:twoCellAnchor>
    <xdr:from>
      <xdr:col>0</xdr:col>
      <xdr:colOff>0</xdr:colOff>
      <xdr:row>29</xdr:row>
      <xdr:rowOff>28575</xdr:rowOff>
    </xdr:from>
    <xdr:to>
      <xdr:col>2</xdr:col>
      <xdr:colOff>419100</xdr:colOff>
      <xdr:row>32</xdr:row>
      <xdr:rowOff>57150</xdr:rowOff>
    </xdr:to>
    <xdr:sp>
      <xdr:nvSpPr>
        <xdr:cNvPr id="2" name="TextBox 2"/>
        <xdr:cNvSpPr txBox="1">
          <a:spLocks noChangeArrowheads="1"/>
        </xdr:cNvSpPr>
      </xdr:nvSpPr>
      <xdr:spPr>
        <a:xfrm>
          <a:off x="0" y="426720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47625</xdr:rowOff>
    </xdr:from>
    <xdr:to>
      <xdr:col>8</xdr:col>
      <xdr:colOff>514350</xdr:colOff>
      <xdr:row>38</xdr:row>
      <xdr:rowOff>76200</xdr:rowOff>
    </xdr:to>
    <xdr:sp>
      <xdr:nvSpPr>
        <xdr:cNvPr id="1" name="TextBox 1"/>
        <xdr:cNvSpPr txBox="1">
          <a:spLocks noChangeArrowheads="1"/>
        </xdr:cNvSpPr>
      </xdr:nvSpPr>
      <xdr:spPr>
        <a:xfrm>
          <a:off x="0" y="4714875"/>
          <a:ext cx="963930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a:t>
          </a:r>
          <a:r>
            <a:rPr lang="en-US" cap="none" sz="800" b="0" i="0" u="none" baseline="0">
              <a:solidFill>
                <a:srgbClr val="000000"/>
              </a:solidFill>
              <a:latin typeface="Univers"/>
              <a:ea typeface="Univers"/>
              <a:cs typeface="Univers"/>
            </a:rPr>
            <a:t> a   Q*leach, time2 is the emission from planks
       Q**leach, time2 is the emission from poles</a:t>
          </a:r>
          <a:r>
            <a:rPr lang="en-US" cap="none" sz="800" b="0" i="0" u="none" baseline="0">
              <a:solidFill>
                <a:srgbClr val="333399"/>
              </a:solidFill>
              <a:latin typeface="Univers"/>
              <a:ea typeface="Univers"/>
              <a:cs typeface="Univers"/>
            </a:rPr>
            <a:t>
</a:t>
          </a:r>
          <a:r>
            <a:rPr lang="en-US" cap="none" sz="800" b="0" i="0" u="none" baseline="0">
              <a:latin typeface="Univers"/>
              <a:ea typeface="Univers"/>
              <a:cs typeface="Univers"/>
            </a:rPr>
            <a:t>b </a:t>
          </a:r>
          <a:r>
            <a:rPr lang="en-US" cap="none" sz="800" b="0" i="0" u="none" baseline="0">
              <a:solidFill>
                <a:srgbClr val="333399"/>
              </a:solidFill>
              <a:latin typeface="Univers"/>
              <a:ea typeface="Univers"/>
              <a:cs typeface="Univers"/>
            </a:rPr>
            <a:t>   </a:t>
          </a:r>
          <a:r>
            <a:rPr lang="en-US" cap="none" sz="800" b="0" i="0" u="none" baseline="0">
              <a:solidFill>
                <a:srgbClr val="000000"/>
              </a:solidFill>
              <a:latin typeface="Univers"/>
              <a:ea typeface="Univers"/>
              <a:cs typeface="Univers"/>
            </a:rPr>
            <a:t>The user should note that where the residence time of the receiving water is taken into account as in the wharf scenario, the value to be chosed as the water volume should take this into account. For example, the water volume value (Vwater) to be used in the wharf scenario should for a 30-day assessment period be 30*2*1000m3 = 60 000 m3 due to the 0.5 day water residence time. </a:t>
          </a:r>
          <a:r>
            <a:rPr lang="en-US" cap="none" sz="800" b="0" i="0" u="none" baseline="0">
              <a:solidFill>
                <a:srgbClr val="333399"/>
              </a:solidFill>
              <a:latin typeface="Univers"/>
              <a:ea typeface="Univers"/>
              <a:cs typeface="Univers"/>
            </a:rPr>
            <a:t>
</a:t>
          </a:r>
        </a:p>
      </xdr:txBody>
    </xdr:sp>
    <xdr:clientData/>
  </xdr:twoCellAnchor>
  <xdr:twoCellAnchor>
    <xdr:from>
      <xdr:col>0</xdr:col>
      <xdr:colOff>0</xdr:colOff>
      <xdr:row>29</xdr:row>
      <xdr:rowOff>19050</xdr:rowOff>
    </xdr:from>
    <xdr:to>
      <xdr:col>2</xdr:col>
      <xdr:colOff>419100</xdr:colOff>
      <xdr:row>32</xdr:row>
      <xdr:rowOff>47625</xdr:rowOff>
    </xdr:to>
    <xdr:sp>
      <xdr:nvSpPr>
        <xdr:cNvPr id="2" name="TextBox 2"/>
        <xdr:cNvSpPr txBox="1">
          <a:spLocks noChangeArrowheads="1"/>
        </xdr:cNvSpPr>
      </xdr:nvSpPr>
      <xdr:spPr>
        <a:xfrm>
          <a:off x="0" y="425767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133350</xdr:rowOff>
    </xdr:from>
    <xdr:to>
      <xdr:col>8</xdr:col>
      <xdr:colOff>542925</xdr:colOff>
      <xdr:row>35</xdr:row>
      <xdr:rowOff>95250</xdr:rowOff>
    </xdr:to>
    <xdr:sp>
      <xdr:nvSpPr>
        <xdr:cNvPr id="1" name="TextBox 1"/>
        <xdr:cNvSpPr txBox="1">
          <a:spLocks noChangeArrowheads="1"/>
        </xdr:cNvSpPr>
      </xdr:nvSpPr>
      <xdr:spPr>
        <a:xfrm>
          <a:off x="0" y="4219575"/>
          <a:ext cx="9391650"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Please note that the emission and local soil concentrations from the service life of the brushed wood must be calculated with the help of the "House" or "House- 2" scenario depending on the time-scale under consideration. Finally the total local soil concentrations at the end of the service life under consideration shall be calculated by summing up the results from the application phase (this scenario) and one of the "House" wood-in-service scenarios.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85725</xdr:rowOff>
    </xdr:from>
    <xdr:to>
      <xdr:col>2</xdr:col>
      <xdr:colOff>419100</xdr:colOff>
      <xdr:row>31</xdr:row>
      <xdr:rowOff>114300</xdr:rowOff>
    </xdr:to>
    <xdr:sp>
      <xdr:nvSpPr>
        <xdr:cNvPr id="1" name="TextBox 72"/>
        <xdr:cNvSpPr txBox="1">
          <a:spLocks noChangeArrowheads="1"/>
        </xdr:cNvSpPr>
      </xdr:nvSpPr>
      <xdr:spPr>
        <a:xfrm>
          <a:off x="0" y="421957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104775</xdr:rowOff>
    </xdr:from>
    <xdr:to>
      <xdr:col>2</xdr:col>
      <xdr:colOff>419100</xdr:colOff>
      <xdr:row>31</xdr:row>
      <xdr:rowOff>133350</xdr:rowOff>
    </xdr:to>
    <xdr:sp>
      <xdr:nvSpPr>
        <xdr:cNvPr id="1" name="TextBox 5"/>
        <xdr:cNvSpPr txBox="1">
          <a:spLocks noChangeArrowheads="1"/>
        </xdr:cNvSpPr>
      </xdr:nvSpPr>
      <xdr:spPr>
        <a:xfrm>
          <a:off x="0" y="423862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123825</xdr:rowOff>
    </xdr:from>
    <xdr:to>
      <xdr:col>2</xdr:col>
      <xdr:colOff>419100</xdr:colOff>
      <xdr:row>32</xdr:row>
      <xdr:rowOff>9525</xdr:rowOff>
    </xdr:to>
    <xdr:sp>
      <xdr:nvSpPr>
        <xdr:cNvPr id="1" name="TextBox 6"/>
        <xdr:cNvSpPr txBox="1">
          <a:spLocks noChangeArrowheads="1"/>
        </xdr:cNvSpPr>
      </xdr:nvSpPr>
      <xdr:spPr>
        <a:xfrm>
          <a:off x="0" y="422910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123825</xdr:rowOff>
    </xdr:from>
    <xdr:to>
      <xdr:col>2</xdr:col>
      <xdr:colOff>419100</xdr:colOff>
      <xdr:row>32</xdr:row>
      <xdr:rowOff>9525</xdr:rowOff>
    </xdr:to>
    <xdr:sp>
      <xdr:nvSpPr>
        <xdr:cNvPr id="1" name="TextBox 5"/>
        <xdr:cNvSpPr txBox="1">
          <a:spLocks noChangeArrowheads="1"/>
        </xdr:cNvSpPr>
      </xdr:nvSpPr>
      <xdr:spPr>
        <a:xfrm>
          <a:off x="0" y="422910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38100</xdr:rowOff>
    </xdr:from>
    <xdr:to>
      <xdr:col>2</xdr:col>
      <xdr:colOff>428625</xdr:colOff>
      <xdr:row>31</xdr:row>
      <xdr:rowOff>66675</xdr:rowOff>
    </xdr:to>
    <xdr:sp>
      <xdr:nvSpPr>
        <xdr:cNvPr id="1" name="TextBox 2"/>
        <xdr:cNvSpPr txBox="1">
          <a:spLocks noChangeArrowheads="1"/>
        </xdr:cNvSpPr>
      </xdr:nvSpPr>
      <xdr:spPr>
        <a:xfrm>
          <a:off x="9525" y="413385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28575</xdr:rowOff>
    </xdr:from>
    <xdr:to>
      <xdr:col>2</xdr:col>
      <xdr:colOff>419100</xdr:colOff>
      <xdr:row>31</xdr:row>
      <xdr:rowOff>57150</xdr:rowOff>
    </xdr:to>
    <xdr:sp>
      <xdr:nvSpPr>
        <xdr:cNvPr id="1" name="TextBox 2"/>
        <xdr:cNvSpPr txBox="1">
          <a:spLocks noChangeArrowheads="1"/>
        </xdr:cNvSpPr>
      </xdr:nvSpPr>
      <xdr:spPr>
        <a:xfrm>
          <a:off x="0" y="412432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38100</xdr:rowOff>
    </xdr:from>
    <xdr:to>
      <xdr:col>2</xdr:col>
      <xdr:colOff>419100</xdr:colOff>
      <xdr:row>31</xdr:row>
      <xdr:rowOff>66675</xdr:rowOff>
    </xdr:to>
    <xdr:sp>
      <xdr:nvSpPr>
        <xdr:cNvPr id="1" name="TextBox 3"/>
        <xdr:cNvSpPr txBox="1">
          <a:spLocks noChangeArrowheads="1"/>
        </xdr:cNvSpPr>
      </xdr:nvSpPr>
      <xdr:spPr>
        <a:xfrm>
          <a:off x="0" y="413385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38100</xdr:rowOff>
    </xdr:from>
    <xdr:to>
      <xdr:col>2</xdr:col>
      <xdr:colOff>419100</xdr:colOff>
      <xdr:row>31</xdr:row>
      <xdr:rowOff>66675</xdr:rowOff>
    </xdr:to>
    <xdr:sp>
      <xdr:nvSpPr>
        <xdr:cNvPr id="1" name="TextBox 2"/>
        <xdr:cNvSpPr txBox="1">
          <a:spLocks noChangeArrowheads="1"/>
        </xdr:cNvSpPr>
      </xdr:nvSpPr>
      <xdr:spPr>
        <a:xfrm>
          <a:off x="0" y="413385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7"/>
  <sheetViews>
    <sheetView workbookViewId="0" topLeftCell="A1">
      <selection activeCell="F24" sqref="F24"/>
    </sheetView>
  </sheetViews>
  <sheetFormatPr defaultColWidth="8.796875" defaultRowHeight="14.25"/>
  <cols>
    <col min="1" max="1" width="2.3984375" style="294" customWidth="1"/>
    <col min="2" max="2" width="6.19921875" style="294" customWidth="1"/>
    <col min="3" max="3" width="29.19921875" style="294" customWidth="1"/>
    <col min="4" max="4" width="42.19921875" style="294" customWidth="1"/>
    <col min="5" max="5" width="9" style="296" customWidth="1"/>
    <col min="6" max="16384" width="9" style="294" customWidth="1"/>
  </cols>
  <sheetData>
    <row r="1" ht="14.25">
      <c r="A1" s="310" t="s">
        <v>235</v>
      </c>
    </row>
    <row r="2" ht="14.25">
      <c r="A2" s="310" t="s">
        <v>236</v>
      </c>
    </row>
    <row r="3" ht="14.25">
      <c r="A3" s="310" t="s">
        <v>240</v>
      </c>
    </row>
    <row r="4" ht="14.25">
      <c r="A4" s="310"/>
    </row>
    <row r="5" ht="14.25">
      <c r="A5" s="310" t="s">
        <v>220</v>
      </c>
    </row>
    <row r="6" ht="14.25">
      <c r="A6" s="310"/>
    </row>
    <row r="7" ht="14.25">
      <c r="A7" s="310" t="s">
        <v>221</v>
      </c>
    </row>
    <row r="8" ht="15">
      <c r="A8" s="310" t="s">
        <v>241</v>
      </c>
    </row>
    <row r="9" ht="14.25">
      <c r="A9" s="310" t="s">
        <v>223</v>
      </c>
    </row>
    <row r="10" ht="14.25">
      <c r="A10" s="310"/>
    </row>
    <row r="11" ht="14.25">
      <c r="A11" s="310" t="s">
        <v>237</v>
      </c>
    </row>
    <row r="12" ht="14.25">
      <c r="A12" s="310"/>
    </row>
    <row r="13" ht="14.25">
      <c r="A13" s="310" t="s">
        <v>222</v>
      </c>
    </row>
    <row r="14" ht="14.25">
      <c r="A14" s="310" t="s">
        <v>238</v>
      </c>
    </row>
    <row r="15" ht="14.25">
      <c r="A15" s="310" t="s">
        <v>224</v>
      </c>
    </row>
    <row r="16" ht="14.25">
      <c r="A16" s="310" t="s">
        <v>239</v>
      </c>
    </row>
    <row r="17" ht="14.25">
      <c r="A17" s="310"/>
    </row>
    <row r="18" ht="14.25">
      <c r="A18" s="311" t="s">
        <v>233</v>
      </c>
    </row>
    <row r="19" ht="14.25">
      <c r="A19" s="310" t="s">
        <v>234</v>
      </c>
    </row>
    <row r="20" ht="14.25">
      <c r="A20" s="310"/>
    </row>
    <row r="21" ht="14.25">
      <c r="A21" s="310" t="s">
        <v>301</v>
      </c>
    </row>
    <row r="22" spans="1:5" ht="14.25">
      <c r="A22" s="328" t="s">
        <v>246</v>
      </c>
      <c r="B22" s="328" t="s">
        <v>247</v>
      </c>
      <c r="C22" s="328" t="s">
        <v>248</v>
      </c>
      <c r="D22" s="328" t="s">
        <v>249</v>
      </c>
      <c r="E22" s="326"/>
    </row>
    <row r="23" spans="1:5" ht="15.75">
      <c r="A23" s="331" t="s">
        <v>250</v>
      </c>
      <c r="B23" s="331"/>
      <c r="C23" s="331"/>
      <c r="D23" s="331"/>
      <c r="E23" s="327"/>
    </row>
    <row r="24" spans="1:5" ht="14.25">
      <c r="A24" s="329">
        <v>1</v>
      </c>
      <c r="B24" s="328" t="s">
        <v>251</v>
      </c>
      <c r="C24" s="328" t="s">
        <v>252</v>
      </c>
      <c r="D24" s="328" t="s">
        <v>253</v>
      </c>
      <c r="E24" s="326"/>
    </row>
    <row r="25" spans="1:5" ht="14.25">
      <c r="A25" s="329"/>
      <c r="B25" s="328" t="s">
        <v>254</v>
      </c>
      <c r="C25" s="328" t="s">
        <v>255</v>
      </c>
      <c r="D25" s="328" t="s">
        <v>256</v>
      </c>
      <c r="E25" s="326"/>
    </row>
    <row r="26" spans="1:5" ht="14.25">
      <c r="A26" s="329"/>
      <c r="B26" s="328" t="s">
        <v>257</v>
      </c>
      <c r="C26" s="328" t="s">
        <v>258</v>
      </c>
      <c r="D26" s="328" t="s">
        <v>259</v>
      </c>
      <c r="E26" s="326"/>
    </row>
    <row r="27" spans="1:5" ht="14.25">
      <c r="A27" s="329">
        <v>2</v>
      </c>
      <c r="B27" s="328" t="s">
        <v>260</v>
      </c>
      <c r="C27" s="328" t="s">
        <v>261</v>
      </c>
      <c r="D27" s="328" t="s">
        <v>262</v>
      </c>
      <c r="E27" s="326"/>
    </row>
    <row r="28" spans="1:5" ht="14.25">
      <c r="A28" s="329">
        <v>3</v>
      </c>
      <c r="B28" s="328" t="s">
        <v>263</v>
      </c>
      <c r="C28" s="328" t="s">
        <v>264</v>
      </c>
      <c r="D28" s="328" t="s">
        <v>265</v>
      </c>
      <c r="E28" s="326"/>
    </row>
    <row r="29" spans="1:5" ht="14.25">
      <c r="A29" s="329"/>
      <c r="B29" s="328" t="s">
        <v>266</v>
      </c>
      <c r="C29" s="328" t="s">
        <v>267</v>
      </c>
      <c r="D29" s="328" t="s">
        <v>268</v>
      </c>
      <c r="E29" s="326"/>
    </row>
    <row r="30" spans="1:5" ht="15.75">
      <c r="A30" s="331" t="s">
        <v>269</v>
      </c>
      <c r="B30" s="331"/>
      <c r="C30" s="331"/>
      <c r="D30" s="331"/>
      <c r="E30" s="327"/>
    </row>
    <row r="31" spans="1:5" ht="14.25">
      <c r="A31" s="329">
        <v>4</v>
      </c>
      <c r="B31" s="328" t="s">
        <v>270</v>
      </c>
      <c r="C31" s="329" t="s">
        <v>271</v>
      </c>
      <c r="D31" s="329" t="s">
        <v>272</v>
      </c>
      <c r="E31" s="326"/>
    </row>
    <row r="32" spans="1:5" ht="14.25">
      <c r="A32" s="329">
        <v>5</v>
      </c>
      <c r="B32" s="328" t="s">
        <v>272</v>
      </c>
      <c r="C32" s="332">
        <v>0.0006944444444444445</v>
      </c>
      <c r="D32" s="329" t="s">
        <v>271</v>
      </c>
      <c r="E32" s="326"/>
    </row>
    <row r="33" spans="1:5" ht="14.25">
      <c r="A33" s="329">
        <v>6</v>
      </c>
      <c r="B33" s="328" t="s">
        <v>273</v>
      </c>
      <c r="C33" s="329" t="s">
        <v>297</v>
      </c>
      <c r="D33" s="329" t="s">
        <v>298</v>
      </c>
      <c r="E33" s="326"/>
    </row>
    <row r="34" spans="1:5" ht="14.25">
      <c r="A34" s="329">
        <v>7</v>
      </c>
      <c r="B34" s="328" t="s">
        <v>274</v>
      </c>
      <c r="C34" s="329" t="s">
        <v>275</v>
      </c>
      <c r="D34" s="329" t="s">
        <v>276</v>
      </c>
      <c r="E34" s="326"/>
    </row>
    <row r="35" spans="1:5" ht="14.25">
      <c r="A35" s="329">
        <v>8</v>
      </c>
      <c r="B35" s="328" t="s">
        <v>277</v>
      </c>
      <c r="C35" s="329" t="s">
        <v>278</v>
      </c>
      <c r="D35" s="329" t="s">
        <v>299</v>
      </c>
      <c r="E35" s="326"/>
    </row>
    <row r="36" spans="1:5" ht="14.25">
      <c r="A36" s="329">
        <v>9</v>
      </c>
      <c r="B36" s="328" t="s">
        <v>279</v>
      </c>
      <c r="C36" s="329" t="s">
        <v>197</v>
      </c>
      <c r="D36" s="329" t="s">
        <v>280</v>
      </c>
      <c r="E36" s="326"/>
    </row>
    <row r="37" spans="1:5" ht="14.25">
      <c r="A37" s="329">
        <v>10</v>
      </c>
      <c r="B37" s="328" t="s">
        <v>281</v>
      </c>
      <c r="C37" s="329" t="s">
        <v>282</v>
      </c>
      <c r="D37" s="329" t="s">
        <v>197</v>
      </c>
      <c r="E37" s="326"/>
    </row>
    <row r="38" spans="1:5" ht="25.5">
      <c r="A38" s="329">
        <v>11</v>
      </c>
      <c r="B38" s="328" t="s">
        <v>283</v>
      </c>
      <c r="C38" s="329" t="s">
        <v>284</v>
      </c>
      <c r="D38" s="329" t="s">
        <v>300</v>
      </c>
      <c r="E38" s="326"/>
    </row>
    <row r="39" spans="1:5" ht="14.25">
      <c r="A39" s="329">
        <v>12</v>
      </c>
      <c r="B39" s="328" t="s">
        <v>285</v>
      </c>
      <c r="C39" s="329" t="s">
        <v>286</v>
      </c>
      <c r="D39" s="329"/>
      <c r="E39" s="326"/>
    </row>
    <row r="40" spans="1:5" ht="14.25">
      <c r="A40" s="329">
        <v>13</v>
      </c>
      <c r="B40" s="328" t="s">
        <v>287</v>
      </c>
      <c r="C40" s="329" t="s">
        <v>275</v>
      </c>
      <c r="D40" s="329" t="s">
        <v>288</v>
      </c>
      <c r="E40" s="326"/>
    </row>
    <row r="41" spans="1:5" ht="14.25">
      <c r="A41" s="329">
        <v>14</v>
      </c>
      <c r="B41" s="328" t="s">
        <v>289</v>
      </c>
      <c r="C41" s="329" t="s">
        <v>290</v>
      </c>
      <c r="D41" s="329"/>
      <c r="E41" s="326"/>
    </row>
    <row r="42" spans="1:5" ht="14.25">
      <c r="A42" s="329">
        <v>15</v>
      </c>
      <c r="B42" s="328" t="s">
        <v>291</v>
      </c>
      <c r="C42" s="329" t="s">
        <v>292</v>
      </c>
      <c r="D42" s="329" t="s">
        <v>73</v>
      </c>
      <c r="E42" s="326"/>
    </row>
    <row r="43" spans="1:5" ht="14.25">
      <c r="A43" s="329">
        <v>16</v>
      </c>
      <c r="B43" s="328" t="s">
        <v>293</v>
      </c>
      <c r="C43" s="329" t="s">
        <v>294</v>
      </c>
      <c r="D43" s="329"/>
      <c r="E43" s="326"/>
    </row>
    <row r="44" spans="1:5" ht="15.75">
      <c r="A44" s="331" t="s">
        <v>295</v>
      </c>
      <c r="B44" s="331"/>
      <c r="C44" s="331"/>
      <c r="D44" s="331"/>
      <c r="E44" s="327"/>
    </row>
    <row r="45" spans="1:5" ht="14.25">
      <c r="A45" s="329">
        <v>4</v>
      </c>
      <c r="B45" s="328" t="s">
        <v>270</v>
      </c>
      <c r="C45" s="328" t="s">
        <v>271</v>
      </c>
      <c r="D45" s="328" t="s">
        <v>272</v>
      </c>
      <c r="E45" s="326"/>
    </row>
    <row r="46" spans="1:5" ht="14.25">
      <c r="A46" s="329">
        <v>5</v>
      </c>
      <c r="B46" s="328" t="s">
        <v>272</v>
      </c>
      <c r="C46" s="330">
        <v>0.0006944444444444445</v>
      </c>
      <c r="D46" s="328" t="s">
        <v>271</v>
      </c>
      <c r="E46" s="326"/>
    </row>
    <row r="47" spans="1:5" ht="14.25">
      <c r="A47" s="329">
        <v>6</v>
      </c>
      <c r="B47" s="328" t="s">
        <v>273</v>
      </c>
      <c r="C47" s="329" t="s">
        <v>297</v>
      </c>
      <c r="D47" s="329" t="s">
        <v>298</v>
      </c>
      <c r="E47" s="326"/>
    </row>
    <row r="48" spans="1:5" ht="14.25">
      <c r="A48" s="329">
        <v>7</v>
      </c>
      <c r="B48" s="328" t="s">
        <v>274</v>
      </c>
      <c r="C48" s="328" t="s">
        <v>275</v>
      </c>
      <c r="D48" s="328" t="s">
        <v>296</v>
      </c>
      <c r="E48" s="326"/>
    </row>
    <row r="49" spans="1:5" ht="14.25">
      <c r="A49" s="329">
        <v>8</v>
      </c>
      <c r="B49" s="328" t="s">
        <v>277</v>
      </c>
      <c r="C49" s="328" t="s">
        <v>278</v>
      </c>
      <c r="D49" s="328" t="s">
        <v>299</v>
      </c>
      <c r="E49" s="326"/>
    </row>
    <row r="50" spans="1:5" ht="14.25">
      <c r="A50" s="329">
        <v>9</v>
      </c>
      <c r="B50" s="328" t="s">
        <v>279</v>
      </c>
      <c r="C50" s="328" t="s">
        <v>196</v>
      </c>
      <c r="D50" s="328" t="s">
        <v>280</v>
      </c>
      <c r="E50" s="326"/>
    </row>
    <row r="51" spans="1:5" ht="14.25">
      <c r="A51" s="329">
        <v>10</v>
      </c>
      <c r="B51" s="328" t="s">
        <v>281</v>
      </c>
      <c r="C51" s="328" t="s">
        <v>282</v>
      </c>
      <c r="D51" s="328" t="s">
        <v>196</v>
      </c>
      <c r="E51" s="326"/>
    </row>
    <row r="52" spans="1:5" ht="25.5">
      <c r="A52" s="329">
        <v>11</v>
      </c>
      <c r="B52" s="328" t="s">
        <v>283</v>
      </c>
      <c r="C52" s="328" t="s">
        <v>284</v>
      </c>
      <c r="D52" s="328" t="s">
        <v>300</v>
      </c>
      <c r="E52" s="326"/>
    </row>
    <row r="53" spans="1:5" ht="14.25">
      <c r="A53" s="329">
        <v>12</v>
      </c>
      <c r="B53" s="328" t="s">
        <v>285</v>
      </c>
      <c r="C53" s="328" t="s">
        <v>286</v>
      </c>
      <c r="D53" s="328"/>
      <c r="E53" s="326"/>
    </row>
    <row r="54" spans="1:5" ht="14.25">
      <c r="A54" s="329">
        <v>13</v>
      </c>
      <c r="B54" s="328" t="s">
        <v>287</v>
      </c>
      <c r="C54" s="328" t="s">
        <v>275</v>
      </c>
      <c r="D54" s="328" t="s">
        <v>288</v>
      </c>
      <c r="E54" s="326"/>
    </row>
    <row r="55" spans="1:5" ht="14.25">
      <c r="A55" s="329">
        <v>14</v>
      </c>
      <c r="B55" s="328" t="s">
        <v>289</v>
      </c>
      <c r="C55" s="328" t="s">
        <v>290</v>
      </c>
      <c r="D55" s="328"/>
      <c r="E55" s="326"/>
    </row>
    <row r="56" spans="1:5" ht="14.25">
      <c r="A56" s="329">
        <v>15</v>
      </c>
      <c r="B56" s="328" t="s">
        <v>291</v>
      </c>
      <c r="C56" s="328" t="s">
        <v>292</v>
      </c>
      <c r="D56" s="328" t="s">
        <v>73</v>
      </c>
      <c r="E56" s="326"/>
    </row>
    <row r="57" spans="1:5" ht="14.25">
      <c r="A57" s="329">
        <v>16</v>
      </c>
      <c r="B57" s="328" t="s">
        <v>293</v>
      </c>
      <c r="C57" s="328" t="s">
        <v>294</v>
      </c>
      <c r="D57" s="328"/>
      <c r="E57" s="326"/>
    </row>
  </sheetData>
  <mergeCells count="3">
    <mergeCell ref="A23:D23"/>
    <mergeCell ref="A30:D30"/>
    <mergeCell ref="A44:D4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8"/>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9" style="46" bestFit="1" customWidth="1"/>
    <col min="4" max="4" width="2.8984375" style="46" customWidth="1"/>
    <col min="5" max="5" width="4.5" style="46" customWidth="1"/>
    <col min="6" max="6" width="30.3984375" style="46" customWidth="1"/>
    <col min="7" max="7" width="7.8984375" style="46" customWidth="1"/>
    <col min="8" max="8" width="3.09765625" style="46"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139</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39" t="s">
        <v>103</v>
      </c>
      <c r="B7" s="79" t="s">
        <v>1</v>
      </c>
      <c r="C7" s="41">
        <f>Summary!C9</f>
        <v>0</v>
      </c>
      <c r="D7" s="8"/>
      <c r="E7" s="34"/>
      <c r="F7" s="1" t="s">
        <v>208</v>
      </c>
      <c r="G7" s="2"/>
      <c r="H7" s="74" t="s">
        <v>73</v>
      </c>
      <c r="I7" s="20"/>
    </row>
    <row r="8" spans="1:9" ht="12" thickBot="1">
      <c r="A8" s="40"/>
      <c r="B8" s="80" t="s">
        <v>2</v>
      </c>
      <c r="C8" s="42">
        <f>Summary!C10</f>
        <v>0</v>
      </c>
      <c r="D8" s="8"/>
      <c r="E8" s="33"/>
      <c r="F8" s="23" t="s">
        <v>188</v>
      </c>
      <c r="G8" s="24">
        <v>0.8</v>
      </c>
      <c r="H8" s="59" t="s">
        <v>0</v>
      </c>
      <c r="I8" s="20"/>
    </row>
    <row r="9" spans="1:9" ht="12" thickBot="1">
      <c r="A9" s="48"/>
      <c r="B9" s="8"/>
      <c r="C9" s="8"/>
      <c r="D9" s="8"/>
      <c r="E9" s="33" t="s">
        <v>97</v>
      </c>
      <c r="F9" s="23" t="s">
        <v>52</v>
      </c>
      <c r="G9" s="24">
        <v>0.1</v>
      </c>
      <c r="H9" s="59" t="s">
        <v>0</v>
      </c>
      <c r="I9" s="20"/>
    </row>
    <row r="10" spans="1:9" ht="11.25">
      <c r="A10" s="47" t="s">
        <v>92</v>
      </c>
      <c r="B10" s="109" t="s">
        <v>25</v>
      </c>
      <c r="C10" s="119"/>
      <c r="D10" s="8"/>
      <c r="E10" s="33"/>
      <c r="F10" s="23" t="s">
        <v>53</v>
      </c>
      <c r="G10" s="24">
        <v>0.1</v>
      </c>
      <c r="H10" s="59" t="s">
        <v>0</v>
      </c>
      <c r="I10" s="20"/>
    </row>
    <row r="11" spans="1:9" ht="11.25">
      <c r="A11" s="48"/>
      <c r="B11" s="111" t="s">
        <v>149</v>
      </c>
      <c r="C11" s="121">
        <f>PRODUCT(G7:G8)/1000000</f>
        <v>8.000000000000001E-07</v>
      </c>
      <c r="D11" s="8"/>
      <c r="E11" s="33" t="s">
        <v>98</v>
      </c>
      <c r="F11" s="23" t="s">
        <v>60</v>
      </c>
      <c r="G11" s="24">
        <v>0.5</v>
      </c>
      <c r="H11" s="59" t="s">
        <v>0</v>
      </c>
      <c r="I11" s="20"/>
    </row>
    <row r="12" spans="1:9" ht="11.25">
      <c r="A12" s="48" t="s">
        <v>93</v>
      </c>
      <c r="B12" s="123"/>
      <c r="C12" s="124"/>
      <c r="D12" s="8"/>
      <c r="E12" s="33"/>
      <c r="F12" s="23" t="s">
        <v>55</v>
      </c>
      <c r="G12" s="24">
        <v>0.025</v>
      </c>
      <c r="H12" s="59" t="s">
        <v>0</v>
      </c>
      <c r="I12" s="20"/>
    </row>
    <row r="13" spans="1:9" ht="11.25">
      <c r="A13" s="48"/>
      <c r="B13" s="114" t="s">
        <v>18</v>
      </c>
      <c r="C13" s="115"/>
      <c r="D13" s="8"/>
      <c r="E13" s="33" t="s">
        <v>99</v>
      </c>
      <c r="F13" s="23" t="s">
        <v>56</v>
      </c>
      <c r="G13" s="24">
        <v>0.1</v>
      </c>
      <c r="H13" s="59" t="s">
        <v>0</v>
      </c>
      <c r="I13" s="20"/>
    </row>
    <row r="14" spans="1:9" ht="11.25">
      <c r="A14" s="48" t="s">
        <v>73</v>
      </c>
      <c r="B14" s="111" t="s">
        <v>146</v>
      </c>
      <c r="C14" s="112">
        <f>PRODUCT(C11,1000000)/G15/G18</f>
        <v>0.055363321799307974</v>
      </c>
      <c r="D14" s="8"/>
      <c r="E14" s="33"/>
      <c r="F14" s="23" t="s">
        <v>57</v>
      </c>
      <c r="G14" s="24">
        <v>0.5</v>
      </c>
      <c r="H14" s="59" t="s">
        <v>0</v>
      </c>
      <c r="I14" s="20"/>
    </row>
    <row r="15" spans="1:9" ht="11.25">
      <c r="A15" s="48"/>
      <c r="B15" s="111" t="s">
        <v>147</v>
      </c>
      <c r="C15" s="112">
        <f>PRODUCT(C11,1000000)/G16/G18</f>
        <v>0.009603841536614643</v>
      </c>
      <c r="D15" s="8"/>
      <c r="E15" s="33" t="s">
        <v>94</v>
      </c>
      <c r="F15" s="23" t="s">
        <v>170</v>
      </c>
      <c r="G15" s="24">
        <f>PRODUCT((SUM(G11,G20)),(SUM(G9,G12,G12)),(SUM(G10,G12,G12)))-PRODUCT(G9:G11)</f>
        <v>0.008499999999999999</v>
      </c>
      <c r="H15" s="59" t="s">
        <v>74</v>
      </c>
      <c r="I15" s="20"/>
    </row>
    <row r="16" spans="1:9" ht="11.25">
      <c r="A16" s="48" t="s">
        <v>94</v>
      </c>
      <c r="B16" s="111" t="s">
        <v>148</v>
      </c>
      <c r="C16" s="112">
        <f>PRODUCT(C11,1000000)/G17/G18</f>
        <v>0.0006526882597699274</v>
      </c>
      <c r="D16" s="8"/>
      <c r="E16" s="33"/>
      <c r="F16" s="23" t="s">
        <v>58</v>
      </c>
      <c r="G16" s="24">
        <f>PRODUCT((SUM(G11,G20)),(SUM(G9,G13,G13)),(SUM(G10,G13,G13)))-PRODUCT(G9:G11)</f>
        <v>0.049000000000000016</v>
      </c>
      <c r="H16" s="59" t="s">
        <v>74</v>
      </c>
      <c r="I16" s="20"/>
    </row>
    <row r="17" spans="1:9" ht="11.25">
      <c r="A17" s="48"/>
      <c r="B17" s="113"/>
      <c r="C17" s="116"/>
      <c r="D17" s="8"/>
      <c r="E17" s="33" t="s">
        <v>96</v>
      </c>
      <c r="F17" s="60" t="s">
        <v>59</v>
      </c>
      <c r="G17" s="61">
        <f>PRODUCT((SUM(G11,G20)),(SUM(G9,G14,G14)),(SUM(G10,G14,G14)))-PRODUCT(G9:G11)</f>
        <v>0.7210000000000001</v>
      </c>
      <c r="H17" s="62" t="s">
        <v>74</v>
      </c>
      <c r="I17" s="20"/>
    </row>
    <row r="18" spans="1:9" ht="11.25">
      <c r="A18" s="48" t="s">
        <v>95</v>
      </c>
      <c r="B18" s="113"/>
      <c r="C18" s="116"/>
      <c r="D18" s="8"/>
      <c r="E18" s="70"/>
      <c r="F18" s="23" t="s">
        <v>7</v>
      </c>
      <c r="G18" s="24">
        <v>1700</v>
      </c>
      <c r="H18" s="59" t="s">
        <v>0</v>
      </c>
      <c r="I18" s="20"/>
    </row>
    <row r="19" spans="1:9" ht="11.25">
      <c r="A19" s="48"/>
      <c r="B19" s="113"/>
      <c r="C19" s="116"/>
      <c r="D19" s="8"/>
      <c r="E19" s="33"/>
      <c r="F19" s="23" t="s">
        <v>145</v>
      </c>
      <c r="G19" s="24">
        <v>3650</v>
      </c>
      <c r="H19" s="59" t="s">
        <v>0</v>
      </c>
      <c r="I19" s="20"/>
    </row>
    <row r="20" spans="1:9" ht="12" thickBot="1">
      <c r="A20" s="48" t="s">
        <v>96</v>
      </c>
      <c r="B20" s="113"/>
      <c r="C20" s="116"/>
      <c r="D20" s="8"/>
      <c r="E20" s="40"/>
      <c r="F20" s="25" t="s">
        <v>184</v>
      </c>
      <c r="G20" s="26">
        <v>0.1</v>
      </c>
      <c r="H20" s="64" t="s">
        <v>0</v>
      </c>
      <c r="I20" s="20"/>
    </row>
    <row r="21" spans="1:9" ht="11.25">
      <c r="A21" s="48"/>
      <c r="B21" s="113"/>
      <c r="C21" s="116"/>
      <c r="D21" s="8"/>
      <c r="E21" s="69"/>
      <c r="F21" s="8"/>
      <c r="G21" s="8"/>
      <c r="H21" s="8"/>
      <c r="I21" s="20"/>
    </row>
    <row r="22" spans="1:9" ht="12" thickBot="1">
      <c r="A22" s="66" t="s">
        <v>73</v>
      </c>
      <c r="B22" s="117"/>
      <c r="C22" s="118"/>
      <c r="D22" s="8"/>
      <c r="E22" s="68"/>
      <c r="F22" s="8"/>
      <c r="G22" s="8"/>
      <c r="H22" s="8"/>
      <c r="I22" s="20"/>
    </row>
    <row r="23" spans="1:9" ht="11.25">
      <c r="A23" s="48"/>
      <c r="B23" s="8"/>
      <c r="C23" s="8"/>
      <c r="D23" s="8"/>
      <c r="E23" s="8"/>
      <c r="F23" s="8"/>
      <c r="G23" s="8"/>
      <c r="H23" s="8"/>
      <c r="I23" s="20"/>
    </row>
    <row r="24" spans="1:9" ht="11.25">
      <c r="A24" s="18"/>
      <c r="B24" s="8"/>
      <c r="C24" s="8"/>
      <c r="D24" s="8"/>
      <c r="E24" s="8"/>
      <c r="F24" s="108"/>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150" customFormat="1" ht="11.25"/>
    <row r="40" s="150" customFormat="1" ht="11.25"/>
    <row r="41" s="150" customFormat="1" ht="11.25"/>
    <row r="42" s="150" customFormat="1" ht="11.25"/>
    <row r="43" s="150" customFormat="1" ht="11.25"/>
    <row r="44" s="150" customFormat="1" ht="11.25"/>
    <row r="45" s="150" customFormat="1" ht="11.25"/>
    <row r="46" s="150" customFormat="1" ht="11.25"/>
    <row r="47" s="150" customFormat="1" ht="11.25"/>
    <row r="48" s="150" customFormat="1" ht="11.25"/>
    <row r="49" s="150" customFormat="1" ht="11.25"/>
    <row r="50" s="150" customFormat="1" ht="11.25"/>
    <row r="51" s="150" customFormat="1" ht="11.25"/>
    <row r="52" s="150" customFormat="1" ht="11.25"/>
    <row r="53" s="150" customFormat="1" ht="11.25"/>
    <row r="54" s="150" customFormat="1" ht="11.25"/>
    <row r="55" s="150" customFormat="1" ht="11.25"/>
    <row r="56" s="150" customFormat="1" ht="11.25"/>
    <row r="57" s="150" customFormat="1" ht="11.25"/>
    <row r="58" s="150" customFormat="1" ht="11.25"/>
    <row r="59" s="150" customFormat="1" ht="11.25"/>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1.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9" style="46" bestFit="1" customWidth="1"/>
    <col min="4" max="4" width="2.8984375" style="46" customWidth="1"/>
    <col min="5" max="5" width="4.5" style="46" customWidth="1"/>
    <col min="6" max="6" width="30.19921875" style="46" customWidth="1"/>
    <col min="7" max="7" width="7.8984375" style="46" bestFit="1" customWidth="1"/>
    <col min="8" max="8" width="3.09765625" style="46" bestFit="1" customWidth="1"/>
    <col min="9" max="9" width="6.59765625" style="46" customWidth="1"/>
    <col min="10" max="16384" width="8.8984375" style="46" customWidth="1"/>
  </cols>
  <sheetData>
    <row r="1" spans="1:9" s="150" customFormat="1" ht="12.75">
      <c r="A1" s="142"/>
      <c r="B1" s="143" t="s">
        <v>121</v>
      </c>
      <c r="C1" s="144"/>
      <c r="D1" s="144"/>
      <c r="E1" s="144"/>
      <c r="F1" s="144"/>
      <c r="G1" s="144"/>
      <c r="H1" s="144"/>
      <c r="I1" s="145"/>
    </row>
    <row r="2" spans="1:9" ht="12.75">
      <c r="A2" s="146"/>
      <c r="B2" s="135" t="s">
        <v>127</v>
      </c>
      <c r="C2" s="154" t="s">
        <v>64</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39" t="s">
        <v>103</v>
      </c>
      <c r="B7" s="12" t="s">
        <v>1</v>
      </c>
      <c r="C7" s="41">
        <f>Summary!C9</f>
        <v>0</v>
      </c>
      <c r="D7" s="8"/>
      <c r="E7" s="52"/>
      <c r="F7" s="1" t="s">
        <v>171</v>
      </c>
      <c r="G7" s="2"/>
      <c r="H7" s="74" t="s">
        <v>73</v>
      </c>
      <c r="I7" s="20"/>
    </row>
    <row r="8" spans="1:9" ht="12" thickBot="1">
      <c r="A8" s="30"/>
      <c r="B8" s="13" t="s">
        <v>2</v>
      </c>
      <c r="C8" s="42">
        <f>Summary!C10</f>
        <v>0</v>
      </c>
      <c r="D8" s="8"/>
      <c r="E8" s="48" t="s">
        <v>97</v>
      </c>
      <c r="F8" s="23" t="s">
        <v>182</v>
      </c>
      <c r="G8" s="24">
        <v>7.1</v>
      </c>
      <c r="H8" s="59" t="s">
        <v>0</v>
      </c>
      <c r="I8" s="20"/>
    </row>
    <row r="9" spans="1:9" ht="12" thickBot="1">
      <c r="A9" s="48"/>
      <c r="B9" s="8"/>
      <c r="C9" s="8"/>
      <c r="D9" s="8"/>
      <c r="E9" s="48"/>
      <c r="F9" s="23" t="s">
        <v>54</v>
      </c>
      <c r="G9" s="24">
        <v>0.125</v>
      </c>
      <c r="H9" s="59" t="s">
        <v>0</v>
      </c>
      <c r="I9" s="20"/>
    </row>
    <row r="10" spans="1:9" ht="11.25">
      <c r="A10" s="39" t="s">
        <v>92</v>
      </c>
      <c r="B10" s="109" t="s">
        <v>25</v>
      </c>
      <c r="C10" s="110"/>
      <c r="D10" s="8"/>
      <c r="E10" s="48" t="s">
        <v>98</v>
      </c>
      <c r="F10" s="23" t="s">
        <v>61</v>
      </c>
      <c r="G10" s="24">
        <v>2</v>
      </c>
      <c r="H10" s="59" t="s">
        <v>0</v>
      </c>
      <c r="I10" s="20"/>
    </row>
    <row r="11" spans="1:9" ht="11.25">
      <c r="A11" s="33" t="s">
        <v>93</v>
      </c>
      <c r="B11" s="111" t="s">
        <v>36</v>
      </c>
      <c r="C11" s="121">
        <f>PRODUCT(G7:G8)/1000000</f>
        <v>7.1E-06</v>
      </c>
      <c r="D11" s="8"/>
      <c r="E11" s="48"/>
      <c r="F11" s="23" t="s">
        <v>55</v>
      </c>
      <c r="G11" s="24">
        <v>0.025</v>
      </c>
      <c r="H11" s="59" t="s">
        <v>0</v>
      </c>
      <c r="I11" s="20"/>
    </row>
    <row r="12" spans="1:9" ht="11.25">
      <c r="A12" s="33" t="s">
        <v>73</v>
      </c>
      <c r="B12" s="123"/>
      <c r="C12" s="124"/>
      <c r="D12" s="8"/>
      <c r="E12" s="48" t="s">
        <v>99</v>
      </c>
      <c r="F12" s="23" t="s">
        <v>56</v>
      </c>
      <c r="G12" s="24">
        <v>0.1</v>
      </c>
      <c r="H12" s="59" t="s">
        <v>0</v>
      </c>
      <c r="I12" s="20"/>
    </row>
    <row r="13" spans="1:9" ht="11.25">
      <c r="A13" s="33" t="s">
        <v>94</v>
      </c>
      <c r="B13" s="113" t="s">
        <v>18</v>
      </c>
      <c r="C13" s="120"/>
      <c r="D13" s="8"/>
      <c r="E13" s="48"/>
      <c r="F13" s="23" t="s">
        <v>57</v>
      </c>
      <c r="G13" s="24">
        <v>0.5</v>
      </c>
      <c r="H13" s="59" t="s">
        <v>0</v>
      </c>
      <c r="I13" s="20"/>
    </row>
    <row r="14" spans="1:9" ht="11.25">
      <c r="A14" s="33" t="s">
        <v>95</v>
      </c>
      <c r="B14" s="111" t="s">
        <v>104</v>
      </c>
      <c r="C14" s="112">
        <f>PRODUCT(C11,1000000)/G14/G17</f>
        <v>0.08308824234944534</v>
      </c>
      <c r="D14" s="8"/>
      <c r="E14" s="48" t="s">
        <v>94</v>
      </c>
      <c r="F14" s="23" t="s">
        <v>172</v>
      </c>
      <c r="G14" s="65">
        <f>PRODUCT((POWER((SUM(G9,G11)),2)),PI(),(SUM(G10,G19)))-PRODUCT((POWER(G9,2)),PI(),G10)</f>
        <v>0.0502654824574367</v>
      </c>
      <c r="H14" s="59" t="s">
        <v>74</v>
      </c>
      <c r="I14" s="20"/>
    </row>
    <row r="15" spans="1:9" ht="11.25">
      <c r="A15" s="33" t="s">
        <v>96</v>
      </c>
      <c r="B15" s="111" t="s">
        <v>105</v>
      </c>
      <c r="C15" s="112">
        <f>PRODUCT(C11,1000000)/G15/G17</f>
        <v>0.01771073275725063</v>
      </c>
      <c r="D15" s="8"/>
      <c r="E15" s="48"/>
      <c r="F15" s="23" t="s">
        <v>58</v>
      </c>
      <c r="G15" s="65">
        <f>PRODUCT((POWER((SUM(G9,G12)),2)),PI(),(SUM(G10,G19)))-PRODUCT((POWER(G9,2)),PI(),G10)</f>
        <v>0.2358157985600839</v>
      </c>
      <c r="H15" s="59" t="s">
        <v>74</v>
      </c>
      <c r="I15" s="20"/>
    </row>
    <row r="16" spans="1:9" ht="11.25">
      <c r="A16" s="33" t="s">
        <v>73</v>
      </c>
      <c r="B16" s="111" t="s">
        <v>106</v>
      </c>
      <c r="C16" s="112">
        <f>PRODUCT(C11,1000000)/G16/G17</f>
        <v>0.001684799211204595</v>
      </c>
      <c r="D16" s="8"/>
      <c r="E16" s="48" t="s">
        <v>96</v>
      </c>
      <c r="F16" s="23" t="s">
        <v>59</v>
      </c>
      <c r="G16" s="65">
        <f>PRODUCT((POWER((SUM(G9,G13)),2)),PI(),(SUM(G10,G19)))-PRODUCT((POWER(G9,2)),PI(),G10)</f>
        <v>2.478912953223196</v>
      </c>
      <c r="H16" s="59" t="s">
        <v>74</v>
      </c>
      <c r="I16" s="20"/>
    </row>
    <row r="17" spans="1:9" ht="12" thickBot="1">
      <c r="A17" s="40"/>
      <c r="B17" s="117"/>
      <c r="C17" s="122"/>
      <c r="D17" s="8"/>
      <c r="E17" s="18"/>
      <c r="F17" s="23" t="s">
        <v>7</v>
      </c>
      <c r="G17" s="24">
        <v>1700</v>
      </c>
      <c r="H17" s="59" t="s">
        <v>0</v>
      </c>
      <c r="I17" s="20"/>
    </row>
    <row r="18" spans="1:9" ht="11.25">
      <c r="A18" s="48"/>
      <c r="B18" s="8"/>
      <c r="C18" s="8"/>
      <c r="D18" s="8"/>
      <c r="E18" s="18"/>
      <c r="F18" s="23" t="s">
        <v>176</v>
      </c>
      <c r="G18" s="24">
        <v>30</v>
      </c>
      <c r="H18" s="59" t="s">
        <v>0</v>
      </c>
      <c r="I18" s="20"/>
    </row>
    <row r="19" spans="1:9" ht="12" thickBot="1">
      <c r="A19" s="48"/>
      <c r="B19" s="8"/>
      <c r="C19" s="8"/>
      <c r="D19" s="8"/>
      <c r="E19" s="66"/>
      <c r="F19" s="25" t="s">
        <v>183</v>
      </c>
      <c r="G19" s="26">
        <v>0.1</v>
      </c>
      <c r="H19" s="64" t="s">
        <v>0</v>
      </c>
      <c r="I19" s="20"/>
    </row>
    <row r="20" spans="1:9" ht="11.25">
      <c r="A20" s="48"/>
      <c r="B20" s="8"/>
      <c r="C20" s="8"/>
      <c r="D20" s="8"/>
      <c r="E20" s="69"/>
      <c r="G20" s="8"/>
      <c r="H20" s="8"/>
      <c r="I20" s="20"/>
    </row>
    <row r="21" spans="1:9" ht="11.25">
      <c r="A21" s="48"/>
      <c r="B21" s="8"/>
      <c r="C21" s="8"/>
      <c r="D21" s="8"/>
      <c r="E21" s="69"/>
      <c r="G21" s="8"/>
      <c r="H21" s="8"/>
      <c r="I21" s="20"/>
    </row>
    <row r="22" spans="1:9" ht="11.25">
      <c r="A22" s="48"/>
      <c r="B22" s="8"/>
      <c r="C22" s="8"/>
      <c r="D22" s="8"/>
      <c r="E22" s="68"/>
      <c r="G22" s="8"/>
      <c r="H22" s="8"/>
      <c r="I22" s="20"/>
    </row>
    <row r="23" spans="1:9" ht="11.25">
      <c r="A23" s="48"/>
      <c r="B23" s="8"/>
      <c r="C23" s="8"/>
      <c r="D23" s="8"/>
      <c r="E23" s="8"/>
      <c r="F23" s="8"/>
      <c r="G23" s="8"/>
      <c r="H23" s="8"/>
      <c r="I23" s="20"/>
    </row>
    <row r="24" spans="1:9" ht="11.25">
      <c r="A24" s="18"/>
      <c r="B24" s="8"/>
      <c r="C24" s="8"/>
      <c r="D24" s="8"/>
      <c r="E24" s="108"/>
      <c r="F24" s="8"/>
      <c r="G24" s="8"/>
      <c r="H24" s="8"/>
      <c r="I24" s="20"/>
    </row>
    <row r="25" spans="1:9" ht="11.25">
      <c r="A25" s="18"/>
      <c r="B25" s="8"/>
      <c r="C25" s="8"/>
      <c r="D25" s="8"/>
      <c r="E25" s="108"/>
      <c r="F25" s="8"/>
      <c r="G25" s="8"/>
      <c r="H25" s="8"/>
      <c r="I25" s="20"/>
    </row>
    <row r="26" spans="1:9" ht="11.25">
      <c r="A26" s="18"/>
      <c r="B26" s="8"/>
      <c r="C26" s="8"/>
      <c r="D26" s="8"/>
      <c r="E26" s="10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2.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9" style="46" bestFit="1" customWidth="1"/>
    <col min="4" max="4" width="2.8984375" style="46" customWidth="1"/>
    <col min="5" max="5" width="4.5" style="46" customWidth="1"/>
    <col min="6" max="6" width="30.19921875" style="46" customWidth="1"/>
    <col min="7" max="7" width="7.8984375" style="46" bestFit="1" customWidth="1"/>
    <col min="8" max="8" width="3.09765625" style="46" bestFit="1"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135</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47" t="s">
        <v>103</v>
      </c>
      <c r="B7" s="12" t="s">
        <v>1</v>
      </c>
      <c r="C7" s="41">
        <f>Summary!C9</f>
        <v>0</v>
      </c>
      <c r="D7" s="8"/>
      <c r="E7" s="52"/>
      <c r="F7" s="1" t="s">
        <v>207</v>
      </c>
      <c r="G7" s="2"/>
      <c r="H7" s="74" t="s">
        <v>73</v>
      </c>
      <c r="I7" s="20"/>
    </row>
    <row r="8" spans="1:9" ht="12" thickBot="1">
      <c r="A8" s="66"/>
      <c r="B8" s="13" t="s">
        <v>2</v>
      </c>
      <c r="C8" s="42">
        <f>Summary!C10</f>
        <v>0</v>
      </c>
      <c r="D8" s="8"/>
      <c r="E8" s="48" t="s">
        <v>97</v>
      </c>
      <c r="F8" s="23" t="s">
        <v>182</v>
      </c>
      <c r="G8" s="24">
        <v>7.1</v>
      </c>
      <c r="H8" s="59" t="s">
        <v>0</v>
      </c>
      <c r="I8" s="20"/>
    </row>
    <row r="9" spans="1:9" ht="12" thickBot="1">
      <c r="A9" s="48"/>
      <c r="B9" s="8"/>
      <c r="C9" s="8"/>
      <c r="D9" s="8"/>
      <c r="E9" s="48"/>
      <c r="F9" s="23" t="s">
        <v>54</v>
      </c>
      <c r="G9" s="24">
        <v>0.125</v>
      </c>
      <c r="H9" s="59" t="s">
        <v>0</v>
      </c>
      <c r="I9" s="20"/>
    </row>
    <row r="10" spans="1:9" ht="11.25">
      <c r="A10" s="39" t="s">
        <v>92</v>
      </c>
      <c r="B10" s="109" t="s">
        <v>25</v>
      </c>
      <c r="C10" s="110"/>
      <c r="D10" s="8"/>
      <c r="E10" s="48" t="s">
        <v>98</v>
      </c>
      <c r="F10" s="23" t="s">
        <v>61</v>
      </c>
      <c r="G10" s="24">
        <v>2</v>
      </c>
      <c r="H10" s="59" t="s">
        <v>0</v>
      </c>
      <c r="I10" s="20"/>
    </row>
    <row r="11" spans="1:9" ht="11.25">
      <c r="A11" s="33" t="s">
        <v>93</v>
      </c>
      <c r="B11" s="111" t="s">
        <v>149</v>
      </c>
      <c r="C11" s="121">
        <f>PRODUCT(G7:G8)/1000000</f>
        <v>7.1E-06</v>
      </c>
      <c r="D11" s="8"/>
      <c r="E11" s="48"/>
      <c r="F11" s="23" t="s">
        <v>55</v>
      </c>
      <c r="G11" s="24">
        <v>0.025</v>
      </c>
      <c r="H11" s="59" t="s">
        <v>0</v>
      </c>
      <c r="I11" s="20"/>
    </row>
    <row r="12" spans="1:9" ht="11.25">
      <c r="A12" s="33" t="s">
        <v>73</v>
      </c>
      <c r="B12" s="123"/>
      <c r="C12" s="124"/>
      <c r="D12" s="8"/>
      <c r="E12" s="48" t="s">
        <v>99</v>
      </c>
      <c r="F12" s="23" t="s">
        <v>56</v>
      </c>
      <c r="G12" s="24">
        <v>0.1</v>
      </c>
      <c r="H12" s="59" t="s">
        <v>0</v>
      </c>
      <c r="I12" s="20"/>
    </row>
    <row r="13" spans="1:9" ht="11.25">
      <c r="A13" s="33" t="s">
        <v>94</v>
      </c>
      <c r="B13" s="125" t="s">
        <v>18</v>
      </c>
      <c r="C13" s="120"/>
      <c r="D13" s="8"/>
      <c r="E13" s="48"/>
      <c r="F13" s="23" t="s">
        <v>57</v>
      </c>
      <c r="G13" s="24">
        <v>0.5</v>
      </c>
      <c r="H13" s="59" t="s">
        <v>0</v>
      </c>
      <c r="I13" s="20"/>
    </row>
    <row r="14" spans="1:9" ht="11.25">
      <c r="A14" s="33" t="s">
        <v>95</v>
      </c>
      <c r="B14" s="126" t="s">
        <v>146</v>
      </c>
      <c r="C14" s="112">
        <f>PRODUCT(C11,1000000)/G14/G17</f>
        <v>0.08308824234944534</v>
      </c>
      <c r="D14" s="8"/>
      <c r="E14" s="48" t="s">
        <v>94</v>
      </c>
      <c r="F14" s="23" t="s">
        <v>172</v>
      </c>
      <c r="G14" s="65">
        <f>PRODUCT((POWER((SUM(G9,G11)),2)),PI(),(SUM(G10,G19)))-PRODUCT((POWER(G9,2)),PI(),G10)</f>
        <v>0.0502654824574367</v>
      </c>
      <c r="H14" s="59" t="s">
        <v>74</v>
      </c>
      <c r="I14" s="20"/>
    </row>
    <row r="15" spans="1:9" ht="11.25">
      <c r="A15" s="33" t="s">
        <v>96</v>
      </c>
      <c r="B15" s="126" t="s">
        <v>147</v>
      </c>
      <c r="C15" s="112">
        <f>PRODUCT(C11,1000000)/G15/G17</f>
        <v>0.01771073275725063</v>
      </c>
      <c r="D15" s="8"/>
      <c r="E15" s="48"/>
      <c r="F15" s="23" t="s">
        <v>58</v>
      </c>
      <c r="G15" s="65">
        <f>PRODUCT((POWER((SUM(G9,G12)),2)),PI(),(SUM(G10,G19)))-PRODUCT((POWER(G9,2)),PI(),G10)</f>
        <v>0.2358157985600839</v>
      </c>
      <c r="H15" s="59" t="s">
        <v>74</v>
      </c>
      <c r="I15" s="20"/>
    </row>
    <row r="16" spans="1:9" ht="11.25">
      <c r="A16" s="33" t="s">
        <v>73</v>
      </c>
      <c r="B16" s="126" t="s">
        <v>148</v>
      </c>
      <c r="C16" s="112">
        <f>PRODUCT(C11,1000000)/G16/G17</f>
        <v>0.001684799211204595</v>
      </c>
      <c r="D16" s="8"/>
      <c r="E16" s="48" t="s">
        <v>96</v>
      </c>
      <c r="F16" s="23" t="s">
        <v>59</v>
      </c>
      <c r="G16" s="65">
        <f>PRODUCT((POWER((SUM(G9,G13)),2)),PI(),(SUM(G10,G19)))-PRODUCT((POWER(G9,2)),PI(),G10)</f>
        <v>2.478912953223196</v>
      </c>
      <c r="H16" s="59" t="s">
        <v>74</v>
      </c>
      <c r="I16" s="20"/>
    </row>
    <row r="17" spans="1:9" ht="12" thickBot="1">
      <c r="A17" s="40"/>
      <c r="B17" s="127"/>
      <c r="C17" s="122"/>
      <c r="D17" s="8"/>
      <c r="E17" s="18"/>
      <c r="F17" s="60" t="s">
        <v>7</v>
      </c>
      <c r="G17" s="61">
        <v>1700</v>
      </c>
      <c r="H17" s="62" t="s">
        <v>0</v>
      </c>
      <c r="I17" s="20"/>
    </row>
    <row r="18" spans="1:9" ht="11.25">
      <c r="A18" s="48"/>
      <c r="B18" s="8"/>
      <c r="C18" s="8"/>
      <c r="D18" s="8"/>
      <c r="E18" s="48"/>
      <c r="F18" s="23" t="s">
        <v>145</v>
      </c>
      <c r="G18" s="24">
        <v>7300</v>
      </c>
      <c r="H18" s="59" t="s">
        <v>0</v>
      </c>
      <c r="I18" s="20"/>
    </row>
    <row r="19" spans="1:9" ht="12" thickBot="1">
      <c r="A19" s="48"/>
      <c r="B19" s="8"/>
      <c r="C19" s="8"/>
      <c r="D19" s="8"/>
      <c r="E19" s="66"/>
      <c r="F19" s="162" t="s">
        <v>183</v>
      </c>
      <c r="G19" s="160">
        <v>0.1</v>
      </c>
      <c r="H19" s="161" t="s">
        <v>0</v>
      </c>
      <c r="I19" s="20"/>
    </row>
    <row r="20" spans="1:9" ht="11.25">
      <c r="A20" s="48"/>
      <c r="B20" s="8"/>
      <c r="C20" s="8"/>
      <c r="D20" s="8"/>
      <c r="E20" s="69"/>
      <c r="F20" s="8"/>
      <c r="G20" s="8"/>
      <c r="H20" s="8"/>
      <c r="I20" s="20"/>
    </row>
    <row r="21" spans="1:9" ht="11.25">
      <c r="A21" s="48"/>
      <c r="B21" s="8"/>
      <c r="C21" s="8"/>
      <c r="D21" s="8"/>
      <c r="E21" s="69"/>
      <c r="F21" s="8"/>
      <c r="G21" s="8"/>
      <c r="H21" s="8"/>
      <c r="I21" s="20"/>
    </row>
    <row r="22" spans="1:9" ht="11.25">
      <c r="A22" s="48"/>
      <c r="B22" s="8"/>
      <c r="C22" s="8"/>
      <c r="D22" s="8"/>
      <c r="E22" s="68"/>
      <c r="F22" s="8"/>
      <c r="G22" s="8"/>
      <c r="H22" s="8"/>
      <c r="I22" s="20"/>
    </row>
    <row r="23" spans="1:9" ht="11.25">
      <c r="A23" s="48"/>
      <c r="B23" s="8"/>
      <c r="C23" s="8"/>
      <c r="D23" s="8"/>
      <c r="E23" s="8"/>
      <c r="F23" s="8"/>
      <c r="G23" s="8"/>
      <c r="H23" s="8"/>
      <c r="I23" s="20"/>
    </row>
    <row r="24" spans="1:9" ht="11.25">
      <c r="A24" s="18"/>
      <c r="B24" s="8"/>
      <c r="C24" s="8"/>
      <c r="D24" s="8"/>
      <c r="E24" s="8"/>
      <c r="F24" s="8"/>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row r="59" spans="1:9" ht="11.25">
      <c r="A59" s="150"/>
      <c r="B59" s="150"/>
      <c r="C59" s="150"/>
      <c r="D59" s="150"/>
      <c r="E59" s="150"/>
      <c r="F59" s="150"/>
      <c r="G59" s="150"/>
      <c r="H59" s="150"/>
      <c r="I59"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3.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8.8984375" style="46" customWidth="1"/>
    <col min="4" max="4" width="2.5" style="46" customWidth="1"/>
    <col min="5" max="5" width="4.59765625" style="46" customWidth="1"/>
    <col min="6" max="6" width="28.19921875" style="46" customWidth="1"/>
    <col min="7" max="7" width="8.8984375" style="46" customWidth="1"/>
    <col min="8" max="8" width="2.8984375" style="46"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136</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47" t="s">
        <v>103</v>
      </c>
      <c r="B7" s="12" t="s">
        <v>1</v>
      </c>
      <c r="C7" s="41">
        <f>Summary!C9</f>
        <v>0</v>
      </c>
      <c r="D7" s="8"/>
      <c r="E7" s="39" t="s">
        <v>97</v>
      </c>
      <c r="F7" s="1" t="s">
        <v>216</v>
      </c>
      <c r="G7" s="2"/>
      <c r="H7" s="74" t="s">
        <v>73</v>
      </c>
      <c r="I7" s="20"/>
    </row>
    <row r="8" spans="1:9" ht="12" thickBot="1">
      <c r="A8" s="66"/>
      <c r="B8" s="13" t="s">
        <v>2</v>
      </c>
      <c r="C8" s="42">
        <f>Summary!C10</f>
        <v>0</v>
      </c>
      <c r="D8" s="8"/>
      <c r="E8" s="33" t="s">
        <v>98</v>
      </c>
      <c r="F8" s="23" t="s">
        <v>12</v>
      </c>
      <c r="G8" s="24">
        <v>26.2</v>
      </c>
      <c r="H8" s="59" t="s">
        <v>0</v>
      </c>
      <c r="I8" s="20"/>
    </row>
    <row r="9" spans="1:9" ht="12" thickBot="1">
      <c r="A9" s="48"/>
      <c r="B9" s="8"/>
      <c r="C9" s="8"/>
      <c r="D9" s="8"/>
      <c r="E9" s="33" t="s">
        <v>99</v>
      </c>
      <c r="F9" s="23" t="s">
        <v>13</v>
      </c>
      <c r="G9" s="24">
        <v>16000</v>
      </c>
      <c r="H9" s="59" t="s">
        <v>0</v>
      </c>
      <c r="I9" s="20"/>
    </row>
    <row r="10" spans="1:9" ht="11.25">
      <c r="A10" s="34"/>
      <c r="B10" s="5" t="s">
        <v>39</v>
      </c>
      <c r="C10" s="71"/>
      <c r="D10" s="8"/>
      <c r="E10" s="33" t="s">
        <v>94</v>
      </c>
      <c r="F10" s="23" t="s">
        <v>35</v>
      </c>
      <c r="G10" s="24">
        <v>30</v>
      </c>
      <c r="H10" s="59" t="s">
        <v>0</v>
      </c>
      <c r="I10" s="20"/>
    </row>
    <row r="11" spans="1:9" ht="11.25">
      <c r="A11" s="33" t="s">
        <v>92</v>
      </c>
      <c r="B11" s="6" t="s">
        <v>36</v>
      </c>
      <c r="C11" s="82">
        <f>PRODUCT(G7:G8)/1000000</f>
        <v>2.62E-05</v>
      </c>
      <c r="D11" s="8"/>
      <c r="E11" s="33" t="s">
        <v>96</v>
      </c>
      <c r="F11" s="3" t="s">
        <v>14</v>
      </c>
      <c r="G11" s="4"/>
      <c r="H11" s="75" t="s">
        <v>73</v>
      </c>
      <c r="I11" s="20"/>
    </row>
    <row r="12" spans="1:9" ht="12" thickBot="1">
      <c r="A12" s="33"/>
      <c r="B12" s="7"/>
      <c r="C12" s="49"/>
      <c r="D12" s="8"/>
      <c r="E12" s="40"/>
      <c r="F12" s="25" t="s">
        <v>15</v>
      </c>
      <c r="G12" s="76" t="e">
        <f>LN(2)/G11</f>
        <v>#DIV/0!</v>
      </c>
      <c r="H12" s="64" t="s">
        <v>74</v>
      </c>
      <c r="I12" s="20"/>
    </row>
    <row r="13" spans="1:9" ht="11.25">
      <c r="A13" s="33" t="s">
        <v>93</v>
      </c>
      <c r="B13" s="72" t="s">
        <v>33</v>
      </c>
      <c r="C13" s="73"/>
      <c r="D13" s="8"/>
      <c r="E13" s="69"/>
      <c r="F13" s="8"/>
      <c r="G13" s="8"/>
      <c r="H13" s="8"/>
      <c r="I13" s="20"/>
    </row>
    <row r="14" spans="1:9" ht="11.25">
      <c r="A14" s="33"/>
      <c r="B14" s="6" t="s">
        <v>107</v>
      </c>
      <c r="C14" s="128">
        <f>PRODUCT(C11,1000000)/G9</f>
        <v>0.0016374999999999998</v>
      </c>
      <c r="D14" s="8"/>
      <c r="E14" s="69"/>
      <c r="F14" s="8"/>
      <c r="G14" s="8"/>
      <c r="H14" s="8"/>
      <c r="I14" s="20"/>
    </row>
    <row r="15" spans="1:9" ht="11.25">
      <c r="A15" s="33" t="s">
        <v>73</v>
      </c>
      <c r="B15" s="50"/>
      <c r="C15" s="129"/>
      <c r="D15" s="8"/>
      <c r="E15" s="69"/>
      <c r="F15" s="8"/>
      <c r="G15" s="8"/>
      <c r="H15" s="8"/>
      <c r="I15" s="20"/>
    </row>
    <row r="16" spans="1:9" ht="11.25">
      <c r="A16" s="33"/>
      <c r="B16" s="7" t="s">
        <v>32</v>
      </c>
      <c r="C16" s="49"/>
      <c r="D16" s="8"/>
      <c r="E16" s="69"/>
      <c r="F16" s="8"/>
      <c r="G16" s="8"/>
      <c r="H16" s="8"/>
      <c r="I16" s="20"/>
    </row>
    <row r="17" spans="1:9" ht="11.25">
      <c r="A17" s="33" t="s">
        <v>94</v>
      </c>
      <c r="B17" s="6" t="s">
        <v>40</v>
      </c>
      <c r="C17" s="86">
        <f>PRODUCT(G7:G8)/G10</f>
        <v>0.8733333333333333</v>
      </c>
      <c r="D17" s="8"/>
      <c r="E17" s="69"/>
      <c r="F17" s="108"/>
      <c r="G17" s="8"/>
      <c r="H17" s="8"/>
      <c r="I17" s="20"/>
    </row>
    <row r="18" spans="1:9" ht="11.25">
      <c r="A18" s="33"/>
      <c r="B18" s="7"/>
      <c r="C18" s="49"/>
      <c r="D18" s="8"/>
      <c r="E18" s="69"/>
      <c r="F18" s="8"/>
      <c r="G18" s="8"/>
      <c r="H18" s="8"/>
      <c r="I18" s="20"/>
    </row>
    <row r="19" spans="1:9" ht="11.25">
      <c r="A19" s="33" t="s">
        <v>95</v>
      </c>
      <c r="B19" s="102" t="s">
        <v>34</v>
      </c>
      <c r="C19" s="95"/>
      <c r="D19" s="8"/>
      <c r="E19" s="69"/>
      <c r="F19" s="8"/>
      <c r="G19" s="8"/>
      <c r="H19" s="8"/>
      <c r="I19" s="20"/>
    </row>
    <row r="20" spans="1:9" ht="11.25">
      <c r="A20" s="33"/>
      <c r="B20" s="93"/>
      <c r="C20" s="97"/>
      <c r="D20" s="8"/>
      <c r="E20" s="69"/>
      <c r="F20" s="8"/>
      <c r="G20" s="8"/>
      <c r="H20" s="8"/>
      <c r="I20" s="20"/>
    </row>
    <row r="21" spans="1:9" ht="11.25">
      <c r="A21" s="33" t="s">
        <v>96</v>
      </c>
      <c r="B21" s="93" t="s">
        <v>33</v>
      </c>
      <c r="C21" s="97"/>
      <c r="D21" s="8"/>
      <c r="E21" s="69"/>
      <c r="F21" s="8"/>
      <c r="G21" s="8"/>
      <c r="H21" s="8"/>
      <c r="I21" s="20"/>
    </row>
    <row r="22" spans="1:9" ht="11.25">
      <c r="A22" s="33"/>
      <c r="B22" s="89" t="s">
        <v>108</v>
      </c>
      <c r="C22" s="90" t="e">
        <f>PRODUCT(C28,C29)</f>
        <v>#DIV/0!</v>
      </c>
      <c r="D22" s="8"/>
      <c r="E22" s="68"/>
      <c r="F22" s="8"/>
      <c r="G22" s="8"/>
      <c r="H22" s="8"/>
      <c r="I22" s="20"/>
    </row>
    <row r="23" spans="1:9" ht="11.25" customHeight="1" thickBot="1">
      <c r="A23" s="40" t="s">
        <v>73</v>
      </c>
      <c r="B23" s="96"/>
      <c r="C23" s="98"/>
      <c r="D23" s="8"/>
      <c r="E23" s="8"/>
      <c r="F23" s="8"/>
      <c r="G23" s="8"/>
      <c r="H23" s="8"/>
      <c r="I23" s="20"/>
    </row>
    <row r="24" spans="1:9" ht="11.25" customHeight="1">
      <c r="A24" s="18"/>
      <c r="B24" s="8" t="s">
        <v>113</v>
      </c>
      <c r="C24" s="8" t="e">
        <f>EXP(-PRODUCT(G10,G12))</f>
        <v>#DIV/0!</v>
      </c>
      <c r="D24" s="8"/>
      <c r="E24" s="8"/>
      <c r="F24" s="8"/>
      <c r="G24" s="8"/>
      <c r="H24" s="8"/>
      <c r="I24" s="20"/>
    </row>
    <row r="25" spans="1:9" ht="11.25" customHeight="1">
      <c r="A25" s="18"/>
      <c r="B25" s="8" t="s">
        <v>114</v>
      </c>
      <c r="C25" s="8" t="e">
        <f>1-C24</f>
        <v>#DIV/0!</v>
      </c>
      <c r="D25" s="8"/>
      <c r="E25" s="8"/>
      <c r="F25" s="8"/>
      <c r="G25" s="8"/>
      <c r="H25" s="8"/>
      <c r="I25" s="20"/>
    </row>
    <row r="26" spans="1:9" ht="11.25" customHeight="1">
      <c r="A26" s="18"/>
      <c r="B26" s="8" t="s">
        <v>41</v>
      </c>
      <c r="C26" s="8" t="e">
        <f>PRODUCT(G10,G12)</f>
        <v>#DIV/0!</v>
      </c>
      <c r="D26" s="8"/>
      <c r="E26" s="8"/>
      <c r="F26" s="8"/>
      <c r="G26" s="8"/>
      <c r="H26" s="8"/>
      <c r="I26" s="20"/>
    </row>
    <row r="27" spans="1:9" ht="11.25" customHeight="1">
      <c r="A27" s="18"/>
      <c r="B27" s="8" t="s">
        <v>42</v>
      </c>
      <c r="C27" s="8" t="e">
        <f>C25/C26</f>
        <v>#DIV/0!</v>
      </c>
      <c r="D27" s="8"/>
      <c r="E27" s="8"/>
      <c r="F27" s="8"/>
      <c r="G27" s="8"/>
      <c r="H27" s="8"/>
      <c r="I27" s="20"/>
    </row>
    <row r="28" spans="1:9" ht="11.25" customHeight="1">
      <c r="A28" s="18"/>
      <c r="B28" s="8" t="s">
        <v>115</v>
      </c>
      <c r="C28" s="8" t="e">
        <f>1-C27</f>
        <v>#DIV/0!</v>
      </c>
      <c r="D28" s="8"/>
      <c r="E28" s="8"/>
      <c r="F28" s="8"/>
      <c r="G28" s="8"/>
      <c r="H28" s="8"/>
      <c r="I28" s="20"/>
    </row>
    <row r="29" spans="1:9" ht="11.25" customHeight="1" thickBot="1">
      <c r="A29" s="22"/>
      <c r="B29" s="21" t="s">
        <v>43</v>
      </c>
      <c r="C29" s="21" t="e">
        <f>C17/G9/G12</f>
        <v>#DIV/0!</v>
      </c>
      <c r="D29" s="21"/>
      <c r="E29" s="21"/>
      <c r="F29" s="21"/>
      <c r="G29" s="21"/>
      <c r="H29" s="21"/>
      <c r="I29" s="17"/>
    </row>
    <row r="30" spans="1:9" ht="11.25" customHeight="1">
      <c r="A30" s="150"/>
      <c r="B30" s="150"/>
      <c r="C30" s="150"/>
      <c r="D30" s="150"/>
      <c r="E30" s="150"/>
      <c r="F30" s="150"/>
      <c r="G30" s="150"/>
      <c r="H30" s="150"/>
      <c r="I30" s="150"/>
    </row>
    <row r="31" spans="1:9" ht="11.25" customHeight="1">
      <c r="A31" s="150"/>
      <c r="B31" s="150"/>
      <c r="C31" s="150"/>
      <c r="D31" s="150"/>
      <c r="E31" s="150"/>
      <c r="F31" s="150"/>
      <c r="G31" s="150"/>
      <c r="H31" s="150"/>
      <c r="I31" s="150"/>
    </row>
    <row r="32" spans="1:9" ht="11.25" customHeight="1">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row r="59" spans="1:9" ht="11.25">
      <c r="A59" s="150"/>
      <c r="B59" s="150"/>
      <c r="C59" s="150"/>
      <c r="D59" s="150"/>
      <c r="E59" s="150"/>
      <c r="F59" s="150"/>
      <c r="G59" s="150"/>
      <c r="H59" s="150"/>
      <c r="I59"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4.xml><?xml version="1.0" encoding="utf-8"?>
<worksheet xmlns="http://schemas.openxmlformats.org/spreadsheetml/2006/main" xmlns:r="http://schemas.openxmlformats.org/officeDocument/2006/relationships">
  <dimension ref="A1:I56"/>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8.8984375" style="46" customWidth="1"/>
    <col min="4" max="4" width="2.5" style="46" customWidth="1"/>
    <col min="5" max="5" width="4.59765625" style="46" customWidth="1"/>
    <col min="6" max="6" width="28.19921875" style="46" customWidth="1"/>
    <col min="7" max="7" width="8.8984375" style="46" customWidth="1"/>
    <col min="8" max="8" width="2.8984375" style="46"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137</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47" t="s">
        <v>103</v>
      </c>
      <c r="B7" s="12" t="s">
        <v>1</v>
      </c>
      <c r="C7" s="41">
        <f>Summary!C9</f>
        <v>0</v>
      </c>
      <c r="D7" s="8"/>
      <c r="E7" s="39" t="s">
        <v>97</v>
      </c>
      <c r="F7" s="1" t="s">
        <v>206</v>
      </c>
      <c r="G7" s="2"/>
      <c r="H7" s="74" t="s">
        <v>73</v>
      </c>
      <c r="I7" s="20"/>
    </row>
    <row r="8" spans="1:9" ht="12" thickBot="1">
      <c r="A8" s="66"/>
      <c r="B8" s="13" t="s">
        <v>2</v>
      </c>
      <c r="C8" s="42">
        <f>Summary!C10</f>
        <v>0</v>
      </c>
      <c r="D8" s="8"/>
      <c r="E8" s="33" t="s">
        <v>98</v>
      </c>
      <c r="F8" s="23" t="s">
        <v>12</v>
      </c>
      <c r="G8" s="24">
        <v>26.2</v>
      </c>
      <c r="H8" s="59" t="s">
        <v>0</v>
      </c>
      <c r="I8" s="20"/>
    </row>
    <row r="9" spans="1:9" ht="12" thickBot="1">
      <c r="A9" s="48"/>
      <c r="B9" s="8"/>
      <c r="C9" s="8"/>
      <c r="D9" s="8"/>
      <c r="E9" s="33" t="s">
        <v>99</v>
      </c>
      <c r="F9" s="23" t="s">
        <v>13</v>
      </c>
      <c r="G9" s="24">
        <v>16000</v>
      </c>
      <c r="H9" s="59" t="s">
        <v>0</v>
      </c>
      <c r="I9" s="20"/>
    </row>
    <row r="10" spans="1:9" ht="11.25">
      <c r="A10" s="34"/>
      <c r="B10" s="5" t="s">
        <v>39</v>
      </c>
      <c r="C10" s="71"/>
      <c r="D10" s="8"/>
      <c r="E10" s="33" t="s">
        <v>94</v>
      </c>
      <c r="F10" s="23" t="s">
        <v>145</v>
      </c>
      <c r="G10" s="24">
        <v>3650</v>
      </c>
      <c r="H10" s="59" t="s">
        <v>0</v>
      </c>
      <c r="I10" s="20"/>
    </row>
    <row r="11" spans="1:9" ht="11.25">
      <c r="A11" s="33" t="s">
        <v>92</v>
      </c>
      <c r="B11" s="6" t="s">
        <v>149</v>
      </c>
      <c r="C11" s="82">
        <f>PRODUCT(G7:G8)/1000000</f>
        <v>2.62E-05</v>
      </c>
      <c r="D11" s="8"/>
      <c r="E11" s="33" t="s">
        <v>96</v>
      </c>
      <c r="F11" s="3" t="s">
        <v>14</v>
      </c>
      <c r="G11" s="4"/>
      <c r="H11" s="75" t="s">
        <v>73</v>
      </c>
      <c r="I11" s="20"/>
    </row>
    <row r="12" spans="1:9" ht="12" thickBot="1">
      <c r="A12" s="33"/>
      <c r="B12" s="50"/>
      <c r="C12" s="51"/>
      <c r="D12" s="8"/>
      <c r="E12" s="40"/>
      <c r="F12" s="25" t="s">
        <v>15</v>
      </c>
      <c r="G12" s="76" t="e">
        <f>LN(2)/G11</f>
        <v>#DIV/0!</v>
      </c>
      <c r="H12" s="64" t="s">
        <v>74</v>
      </c>
      <c r="I12" s="20"/>
    </row>
    <row r="13" spans="1:9" ht="11.25">
      <c r="A13" s="33" t="s">
        <v>93</v>
      </c>
      <c r="B13" s="7" t="s">
        <v>33</v>
      </c>
      <c r="C13" s="49"/>
      <c r="D13" s="8"/>
      <c r="E13" s="69"/>
      <c r="F13" s="8"/>
      <c r="G13" s="8"/>
      <c r="H13" s="8"/>
      <c r="I13" s="20"/>
    </row>
    <row r="14" spans="1:9" ht="11.25">
      <c r="A14" s="33"/>
      <c r="B14" s="6" t="s">
        <v>150</v>
      </c>
      <c r="C14" s="128">
        <f>PRODUCT(C11,1000000)/G9</f>
        <v>0.0016374999999999998</v>
      </c>
      <c r="D14" s="8"/>
      <c r="E14" s="69"/>
      <c r="F14" s="8"/>
      <c r="G14" s="8"/>
      <c r="H14" s="8"/>
      <c r="I14" s="20"/>
    </row>
    <row r="15" spans="1:9" ht="11.25">
      <c r="A15" s="33" t="s">
        <v>73</v>
      </c>
      <c r="B15" s="7"/>
      <c r="C15" s="128"/>
      <c r="D15" s="8"/>
      <c r="E15" s="69"/>
      <c r="F15" s="8"/>
      <c r="G15" s="8"/>
      <c r="H15" s="8"/>
      <c r="I15" s="20"/>
    </row>
    <row r="16" spans="1:9" ht="11.25">
      <c r="A16" s="33"/>
      <c r="B16" s="72" t="s">
        <v>32</v>
      </c>
      <c r="C16" s="73"/>
      <c r="D16" s="8"/>
      <c r="E16" s="69"/>
      <c r="F16" s="8"/>
      <c r="G16" s="8"/>
      <c r="H16" s="8"/>
      <c r="I16" s="20"/>
    </row>
    <row r="17" spans="1:9" ht="11.25">
      <c r="A17" s="33" t="s">
        <v>94</v>
      </c>
      <c r="B17" s="6" t="s">
        <v>151</v>
      </c>
      <c r="C17" s="86">
        <f>PRODUCT(G7:G8)/G10</f>
        <v>0.007178082191780822</v>
      </c>
      <c r="D17" s="8"/>
      <c r="E17" s="69"/>
      <c r="F17" s="8"/>
      <c r="G17" s="8"/>
      <c r="H17" s="8"/>
      <c r="I17" s="20"/>
    </row>
    <row r="18" spans="1:9" ht="11.25">
      <c r="A18" s="33"/>
      <c r="B18" s="50"/>
      <c r="C18" s="51"/>
      <c r="D18" s="8"/>
      <c r="E18" s="69"/>
      <c r="F18" s="8"/>
      <c r="G18" s="8"/>
      <c r="H18" s="8"/>
      <c r="I18" s="20"/>
    </row>
    <row r="19" spans="1:9" ht="11.25">
      <c r="A19" s="33" t="s">
        <v>95</v>
      </c>
      <c r="B19" s="103" t="s">
        <v>34</v>
      </c>
      <c r="C19" s="97"/>
      <c r="D19" s="8"/>
      <c r="E19" s="69"/>
      <c r="F19" s="8"/>
      <c r="G19" s="8"/>
      <c r="H19" s="8"/>
      <c r="I19" s="20"/>
    </row>
    <row r="20" spans="1:9" ht="11.25">
      <c r="A20" s="33"/>
      <c r="B20" s="93"/>
      <c r="C20" s="97"/>
      <c r="D20" s="8"/>
      <c r="E20" s="69"/>
      <c r="F20" s="8"/>
      <c r="G20" s="8"/>
      <c r="H20" s="8"/>
      <c r="I20" s="20"/>
    </row>
    <row r="21" spans="1:9" ht="11.25">
      <c r="A21" s="33" t="s">
        <v>96</v>
      </c>
      <c r="B21" s="93" t="s">
        <v>33</v>
      </c>
      <c r="C21" s="97"/>
      <c r="D21" s="8"/>
      <c r="E21" s="69"/>
      <c r="F21" s="8"/>
      <c r="G21" s="8"/>
      <c r="H21" s="8"/>
      <c r="I21" s="20"/>
    </row>
    <row r="22" spans="1:9" ht="11.25" customHeight="1">
      <c r="A22" s="33"/>
      <c r="B22" s="89" t="s">
        <v>152</v>
      </c>
      <c r="C22" s="90" t="e">
        <f>PRODUCT(C28,C29)</f>
        <v>#DIV/0!</v>
      </c>
      <c r="D22" s="8"/>
      <c r="E22" s="68"/>
      <c r="F22" s="8"/>
      <c r="G22" s="8"/>
      <c r="H22" s="8"/>
      <c r="I22" s="20"/>
    </row>
    <row r="23" spans="1:9" ht="11.25" customHeight="1" thickBot="1">
      <c r="A23" s="40" t="s">
        <v>73</v>
      </c>
      <c r="B23" s="96"/>
      <c r="C23" s="98"/>
      <c r="D23" s="8"/>
      <c r="E23" s="8"/>
      <c r="F23" s="8"/>
      <c r="G23" s="8"/>
      <c r="H23" s="8"/>
      <c r="I23" s="20"/>
    </row>
    <row r="24" spans="1:9" ht="11.25" customHeight="1">
      <c r="A24" s="18"/>
      <c r="B24" s="8" t="s">
        <v>153</v>
      </c>
      <c r="C24" s="8" t="e">
        <f>EXP(-PRODUCT(G10,G12))</f>
        <v>#DIV/0!</v>
      </c>
      <c r="D24" s="8"/>
      <c r="E24" s="8"/>
      <c r="F24" s="8"/>
      <c r="G24" s="8"/>
      <c r="H24" s="8"/>
      <c r="I24" s="20"/>
    </row>
    <row r="25" spans="1:9" ht="11.25" customHeight="1">
      <c r="A25" s="18"/>
      <c r="B25" s="8" t="s">
        <v>154</v>
      </c>
      <c r="C25" s="8" t="e">
        <f>1-C24</f>
        <v>#DIV/0!</v>
      </c>
      <c r="D25" s="8"/>
      <c r="E25" s="8"/>
      <c r="F25" s="8"/>
      <c r="G25" s="8"/>
      <c r="H25" s="8"/>
      <c r="I25" s="20"/>
    </row>
    <row r="26" spans="1:9" ht="11.25" customHeight="1">
      <c r="A26" s="18"/>
      <c r="B26" s="8" t="s">
        <v>155</v>
      </c>
      <c r="C26" s="8" t="e">
        <f>PRODUCT(G10,G12)</f>
        <v>#DIV/0!</v>
      </c>
      <c r="D26" s="8"/>
      <c r="E26" s="8"/>
      <c r="F26" s="8"/>
      <c r="G26" s="8"/>
      <c r="H26" s="8"/>
      <c r="I26" s="20"/>
    </row>
    <row r="27" spans="1:9" ht="11.25" customHeight="1">
      <c r="A27" s="18"/>
      <c r="B27" s="8" t="s">
        <v>156</v>
      </c>
      <c r="C27" s="8" t="e">
        <f>C25/C26</f>
        <v>#DIV/0!</v>
      </c>
      <c r="D27" s="8"/>
      <c r="E27" s="8"/>
      <c r="F27" s="8"/>
      <c r="G27" s="8"/>
      <c r="H27" s="8"/>
      <c r="I27" s="20"/>
    </row>
    <row r="28" spans="1:9" ht="11.25" customHeight="1">
      <c r="A28" s="18"/>
      <c r="B28" s="8" t="s">
        <v>157</v>
      </c>
      <c r="C28" s="8" t="e">
        <f>1-C27</f>
        <v>#DIV/0!</v>
      </c>
      <c r="D28" s="8"/>
      <c r="E28" s="8"/>
      <c r="F28" s="8"/>
      <c r="G28" s="8"/>
      <c r="H28" s="8"/>
      <c r="I28" s="20"/>
    </row>
    <row r="29" spans="1:9" ht="11.25" customHeight="1" thickBot="1">
      <c r="A29" s="22"/>
      <c r="B29" s="21" t="s">
        <v>158</v>
      </c>
      <c r="C29" s="21" t="e">
        <f>C17/G9/G12</f>
        <v>#DIV/0!</v>
      </c>
      <c r="D29" s="21"/>
      <c r="E29" s="21"/>
      <c r="F29" s="21"/>
      <c r="G29" s="21"/>
      <c r="H29" s="21"/>
      <c r="I29" s="17"/>
    </row>
    <row r="30" spans="1:9" ht="11.25" customHeight="1">
      <c r="A30" s="150"/>
      <c r="B30" s="150"/>
      <c r="C30" s="150"/>
      <c r="D30" s="150"/>
      <c r="E30" s="150"/>
      <c r="F30" s="150"/>
      <c r="G30" s="150"/>
      <c r="H30" s="150"/>
      <c r="I30" s="150"/>
    </row>
    <row r="31" spans="1:9" ht="11.25" customHeight="1">
      <c r="A31" s="150"/>
      <c r="B31" s="150"/>
      <c r="C31" s="150"/>
      <c r="D31" s="150"/>
      <c r="E31" s="150"/>
      <c r="F31" s="150"/>
      <c r="G31" s="150"/>
      <c r="H31" s="150"/>
      <c r="I31" s="150"/>
    </row>
    <row r="32" spans="1:9" ht="11.25" customHeight="1">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5.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9.59765625" style="46" bestFit="1" customWidth="1"/>
    <col min="4" max="4" width="2.59765625" style="46" customWidth="1"/>
    <col min="5" max="5" width="4.59765625" style="46" customWidth="1"/>
    <col min="6" max="6" width="31.8984375" style="46" bestFit="1" customWidth="1"/>
    <col min="7" max="7" width="6.5" style="46" bestFit="1" customWidth="1"/>
    <col min="8" max="8" width="3.09765625" style="46" bestFit="1"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48</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47" t="s">
        <v>103</v>
      </c>
      <c r="B7" s="12" t="s">
        <v>1</v>
      </c>
      <c r="C7" s="41">
        <f>Summary!C9</f>
        <v>0</v>
      </c>
      <c r="D7" s="8"/>
      <c r="E7" s="47" t="s">
        <v>97</v>
      </c>
      <c r="F7" s="1" t="s">
        <v>200</v>
      </c>
      <c r="G7" s="2"/>
      <c r="H7" s="74" t="s">
        <v>73</v>
      </c>
      <c r="I7" s="20"/>
    </row>
    <row r="8" spans="1:9" ht="12" thickBot="1">
      <c r="A8" s="22"/>
      <c r="B8" s="13" t="s">
        <v>2</v>
      </c>
      <c r="C8" s="42">
        <f>Summary!C10</f>
        <v>0</v>
      </c>
      <c r="D8" s="8"/>
      <c r="E8" s="48"/>
      <c r="F8" s="289" t="s">
        <v>204</v>
      </c>
      <c r="G8" s="4"/>
      <c r="H8" s="75" t="s">
        <v>73</v>
      </c>
      <c r="I8" s="20"/>
    </row>
    <row r="9" spans="1:9" ht="12" thickBot="1">
      <c r="A9" s="69"/>
      <c r="B9" s="8"/>
      <c r="C9" s="8"/>
      <c r="D9" s="8"/>
      <c r="E9" s="48" t="s">
        <v>98</v>
      </c>
      <c r="F9" s="23" t="s">
        <v>26</v>
      </c>
      <c r="G9" s="24">
        <v>296</v>
      </c>
      <c r="H9" s="59" t="s">
        <v>0</v>
      </c>
      <c r="I9" s="20"/>
    </row>
    <row r="10" spans="1:9" ht="11.25">
      <c r="A10" s="39" t="s">
        <v>92</v>
      </c>
      <c r="B10" s="5" t="s">
        <v>25</v>
      </c>
      <c r="C10" s="71"/>
      <c r="D10" s="8"/>
      <c r="E10" s="48"/>
      <c r="F10" s="23" t="s">
        <v>27</v>
      </c>
      <c r="G10" s="24">
        <v>911</v>
      </c>
      <c r="H10" s="59" t="s">
        <v>0</v>
      </c>
      <c r="I10" s="20"/>
    </row>
    <row r="11" spans="1:9" ht="11.25">
      <c r="A11" s="33"/>
      <c r="B11" s="6" t="s">
        <v>119</v>
      </c>
      <c r="C11" s="82">
        <f>(SUM((PRODUCT(G7,G9,G11)),(PRODUCT(G8,G10,G11))))/G12/1000000</f>
        <v>2.0116666666666667E-05</v>
      </c>
      <c r="D11" s="8"/>
      <c r="E11" s="48" t="s">
        <v>99</v>
      </c>
      <c r="F11" s="23" t="s">
        <v>28</v>
      </c>
      <c r="G11" s="24">
        <v>0.5</v>
      </c>
      <c r="H11" s="59" t="s">
        <v>0</v>
      </c>
      <c r="I11" s="20"/>
    </row>
    <row r="12" spans="1:9" ht="11.25">
      <c r="A12" s="33" t="s">
        <v>93</v>
      </c>
      <c r="B12" s="7"/>
      <c r="C12" s="49"/>
      <c r="D12" s="8"/>
      <c r="E12" s="48"/>
      <c r="F12" s="23" t="s">
        <v>35</v>
      </c>
      <c r="G12" s="24">
        <v>30</v>
      </c>
      <c r="H12" s="59" t="s">
        <v>0</v>
      </c>
      <c r="I12" s="20"/>
    </row>
    <row r="13" spans="1:9" ht="11.25">
      <c r="A13" s="33"/>
      <c r="B13" s="72" t="s">
        <v>33</v>
      </c>
      <c r="C13" s="73"/>
      <c r="D13" s="8"/>
      <c r="E13" s="48" t="s">
        <v>94</v>
      </c>
      <c r="F13" s="23" t="s">
        <v>185</v>
      </c>
      <c r="G13" s="24">
        <v>60000</v>
      </c>
      <c r="H13" s="59" t="s">
        <v>0</v>
      </c>
      <c r="I13" s="20"/>
    </row>
    <row r="14" spans="1:9" ht="11.25">
      <c r="A14" s="33" t="s">
        <v>73</v>
      </c>
      <c r="B14" s="6" t="s">
        <v>109</v>
      </c>
      <c r="C14" s="128">
        <f>PRODUCT(C11,1000000)/G13</f>
        <v>0.00033527777777777777</v>
      </c>
      <c r="D14" s="8"/>
      <c r="E14" s="48"/>
      <c r="F14" s="3" t="s">
        <v>14</v>
      </c>
      <c r="G14" s="4"/>
      <c r="H14" s="75" t="s">
        <v>73</v>
      </c>
      <c r="I14" s="20"/>
    </row>
    <row r="15" spans="1:9" ht="12" thickBot="1">
      <c r="A15" s="33"/>
      <c r="B15" s="50"/>
      <c r="C15" s="51"/>
      <c r="D15" s="8"/>
      <c r="E15" s="66" t="s">
        <v>96</v>
      </c>
      <c r="F15" s="25" t="s">
        <v>15</v>
      </c>
      <c r="G15" s="76" t="e">
        <f>LN(2)/G14</f>
        <v>#DIV/0!</v>
      </c>
      <c r="H15" s="64" t="s">
        <v>74</v>
      </c>
      <c r="I15" s="20"/>
    </row>
    <row r="16" spans="1:9" ht="11.25">
      <c r="A16" s="33" t="s">
        <v>94</v>
      </c>
      <c r="B16" s="7" t="s">
        <v>32</v>
      </c>
      <c r="C16" s="49"/>
      <c r="D16" s="8"/>
      <c r="E16" s="69"/>
      <c r="F16" s="8"/>
      <c r="G16" s="8"/>
      <c r="H16" s="8"/>
      <c r="I16" s="20"/>
    </row>
    <row r="17" spans="1:9" ht="11.25">
      <c r="A17" s="33"/>
      <c r="B17" s="6" t="s">
        <v>120</v>
      </c>
      <c r="C17" s="82">
        <f>(SUM((PRODUCT(G7,G9)),(PRODUCT(G8,G10))))/G12/1000000</f>
        <v>4.023333333333333E-05</v>
      </c>
      <c r="D17" s="8"/>
      <c r="E17" s="69"/>
      <c r="F17" s="8"/>
      <c r="G17" s="8"/>
      <c r="H17" s="8"/>
      <c r="I17" s="20"/>
    </row>
    <row r="18" spans="1:9" ht="11.25">
      <c r="A18" s="33" t="s">
        <v>95</v>
      </c>
      <c r="B18" s="7"/>
      <c r="C18" s="49"/>
      <c r="D18" s="8"/>
      <c r="E18" s="69"/>
      <c r="F18" s="8"/>
      <c r="G18" s="8"/>
      <c r="H18" s="8"/>
      <c r="I18" s="20"/>
    </row>
    <row r="19" spans="1:9" ht="11.25">
      <c r="A19" s="33"/>
      <c r="B19" s="102" t="s">
        <v>34</v>
      </c>
      <c r="C19" s="95"/>
      <c r="D19" s="8"/>
      <c r="E19" s="69"/>
      <c r="F19" s="8"/>
      <c r="G19" s="8"/>
      <c r="H19" s="8"/>
      <c r="I19" s="20"/>
    </row>
    <row r="20" spans="1:9" ht="11.25">
      <c r="A20" s="33" t="s">
        <v>96</v>
      </c>
      <c r="B20" s="93"/>
      <c r="C20" s="97"/>
      <c r="D20" s="8"/>
      <c r="E20" s="69"/>
      <c r="F20" s="8"/>
      <c r="G20" s="8"/>
      <c r="H20" s="8"/>
      <c r="I20" s="20"/>
    </row>
    <row r="21" spans="1:9" ht="11.25">
      <c r="A21" s="33"/>
      <c r="B21" s="93" t="s">
        <v>33</v>
      </c>
      <c r="C21" s="97"/>
      <c r="D21" s="8"/>
      <c r="E21" s="69"/>
      <c r="F21" s="8"/>
      <c r="G21" s="8"/>
      <c r="H21" s="8"/>
      <c r="I21" s="20"/>
    </row>
    <row r="22" spans="1:9" ht="11.25">
      <c r="A22" s="33" t="s">
        <v>73</v>
      </c>
      <c r="B22" s="89" t="s">
        <v>110</v>
      </c>
      <c r="C22" s="90" t="e">
        <f>PRODUCT(C28,C29,1000000)</f>
        <v>#DIV/0!</v>
      </c>
      <c r="D22" s="8"/>
      <c r="E22" s="68"/>
      <c r="F22" s="8"/>
      <c r="G22" s="8"/>
      <c r="H22" s="8"/>
      <c r="I22" s="20"/>
    </row>
    <row r="23" spans="1:9" ht="12" thickBot="1">
      <c r="A23" s="40"/>
      <c r="B23" s="96"/>
      <c r="C23" s="98"/>
      <c r="D23" s="8"/>
      <c r="E23" s="8"/>
      <c r="F23" s="8"/>
      <c r="G23" s="8"/>
      <c r="H23" s="8"/>
      <c r="I23" s="20"/>
    </row>
    <row r="24" spans="1:9" ht="11.25">
      <c r="A24" s="18"/>
      <c r="B24" s="8" t="s">
        <v>112</v>
      </c>
      <c r="C24" s="8" t="e">
        <f>EXP(-PRODUCT(G11,G15))</f>
        <v>#DIV/0!</v>
      </c>
      <c r="D24" s="8"/>
      <c r="E24" s="8"/>
      <c r="F24" s="8"/>
      <c r="G24" s="8"/>
      <c r="H24" s="8"/>
      <c r="I24" s="20"/>
    </row>
    <row r="25" spans="1:9" ht="11.25">
      <c r="A25" s="18"/>
      <c r="B25" s="8" t="s">
        <v>111</v>
      </c>
      <c r="C25" s="8" t="e">
        <f>1-C24</f>
        <v>#DIV/0!</v>
      </c>
      <c r="D25" s="8"/>
      <c r="E25" s="8"/>
      <c r="F25" s="8"/>
      <c r="G25" s="8"/>
      <c r="H25" s="8"/>
      <c r="I25" s="20"/>
    </row>
    <row r="26" spans="1:9" ht="11.25">
      <c r="A26" s="18"/>
      <c r="B26" s="8" t="s">
        <v>76</v>
      </c>
      <c r="C26" s="8" t="e">
        <f>PRODUCT(G11,G15)</f>
        <v>#DIV/0!</v>
      </c>
      <c r="D26" s="8"/>
      <c r="E26" s="8"/>
      <c r="F26" s="8"/>
      <c r="G26" s="8"/>
      <c r="H26" s="8"/>
      <c r="I26" s="20"/>
    </row>
    <row r="27" spans="1:9" ht="11.25">
      <c r="A27" s="18"/>
      <c r="B27" s="8" t="s">
        <v>77</v>
      </c>
      <c r="C27" s="8" t="e">
        <f>C25/C26</f>
        <v>#DIV/0!</v>
      </c>
      <c r="D27" s="8"/>
      <c r="E27" s="8"/>
      <c r="F27" s="8"/>
      <c r="G27" s="8"/>
      <c r="H27" s="8"/>
      <c r="I27" s="20"/>
    </row>
    <row r="28" spans="1:9" ht="11.25">
      <c r="A28" s="18"/>
      <c r="B28" s="8" t="s">
        <v>78</v>
      </c>
      <c r="C28" s="8" t="e">
        <f>1-C27</f>
        <v>#DIV/0!</v>
      </c>
      <c r="D28" s="8"/>
      <c r="E28" s="8"/>
      <c r="F28" s="8"/>
      <c r="G28" s="8"/>
      <c r="H28" s="8"/>
      <c r="I28" s="20"/>
    </row>
    <row r="29" spans="1:9" ht="12" thickBot="1">
      <c r="A29" s="22"/>
      <c r="B29" s="21" t="s">
        <v>43</v>
      </c>
      <c r="C29" s="21" t="e">
        <f>C17/G13/G15</f>
        <v>#DIV/0!</v>
      </c>
      <c r="D29" s="21"/>
      <c r="E29" s="21"/>
      <c r="F29" s="21"/>
      <c r="G29" s="21"/>
      <c r="H29" s="21"/>
      <c r="I29" s="17"/>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row r="59" spans="1:9" ht="11.25">
      <c r="A59" s="150"/>
      <c r="B59" s="150"/>
      <c r="C59" s="150"/>
      <c r="D59" s="150"/>
      <c r="E59" s="150"/>
      <c r="F59" s="150"/>
      <c r="G59" s="150"/>
      <c r="H59" s="150"/>
      <c r="I59" s="150"/>
    </row>
    <row r="60" spans="1:9" ht="11.25">
      <c r="A60" s="150"/>
      <c r="B60" s="150"/>
      <c r="C60" s="150"/>
      <c r="D60" s="150"/>
      <c r="E60" s="150"/>
      <c r="F60" s="150"/>
      <c r="G60" s="150"/>
      <c r="H60" s="150"/>
      <c r="I60" s="150"/>
    </row>
    <row r="61" spans="1:9" ht="11.25">
      <c r="A61" s="150"/>
      <c r="B61" s="150"/>
      <c r="C61" s="150"/>
      <c r="D61" s="150"/>
      <c r="E61" s="150"/>
      <c r="F61" s="150"/>
      <c r="G61" s="150"/>
      <c r="H61" s="150"/>
      <c r="I61" s="150"/>
    </row>
    <row r="62" spans="1:9" ht="11.25">
      <c r="A62" s="150"/>
      <c r="B62" s="150"/>
      <c r="C62" s="150"/>
      <c r="D62" s="150"/>
      <c r="E62" s="150"/>
      <c r="F62" s="150"/>
      <c r="G62" s="150"/>
      <c r="H62" s="150"/>
      <c r="I62" s="150"/>
    </row>
    <row r="63" spans="1:9" ht="11.25">
      <c r="A63" s="150"/>
      <c r="B63" s="150"/>
      <c r="C63" s="150"/>
      <c r="D63" s="150"/>
      <c r="E63" s="150"/>
      <c r="F63" s="150"/>
      <c r="G63" s="150"/>
      <c r="H63" s="150"/>
      <c r="I63" s="150"/>
    </row>
    <row r="64" spans="1:9" ht="11.25">
      <c r="A64" s="150"/>
      <c r="B64" s="150"/>
      <c r="C64" s="150"/>
      <c r="D64" s="150"/>
      <c r="E64" s="150"/>
      <c r="F64" s="150"/>
      <c r="G64" s="150"/>
      <c r="H64" s="150"/>
      <c r="I64" s="150"/>
    </row>
    <row r="65" spans="1:9" ht="11.25">
      <c r="A65" s="150"/>
      <c r="B65" s="150"/>
      <c r="C65" s="150"/>
      <c r="D65" s="150"/>
      <c r="E65" s="150"/>
      <c r="F65" s="150"/>
      <c r="G65" s="150"/>
      <c r="H65" s="150"/>
      <c r="I65" s="150"/>
    </row>
    <row r="66" spans="1:9" ht="11.25">
      <c r="A66" s="150"/>
      <c r="B66" s="150"/>
      <c r="C66" s="150"/>
      <c r="D66" s="150"/>
      <c r="E66" s="150"/>
      <c r="F66" s="150"/>
      <c r="G66" s="150"/>
      <c r="H66" s="150"/>
      <c r="I66" s="150"/>
    </row>
    <row r="67" spans="1:9" ht="11.25">
      <c r="A67" s="150"/>
      <c r="B67" s="150"/>
      <c r="C67" s="150"/>
      <c r="D67" s="150"/>
      <c r="E67" s="150"/>
      <c r="F67" s="150"/>
      <c r="G67" s="150"/>
      <c r="H67" s="150"/>
      <c r="I67" s="150"/>
    </row>
    <row r="68" spans="1:9" ht="11.25">
      <c r="A68" s="150"/>
      <c r="B68" s="150"/>
      <c r="C68" s="150"/>
      <c r="D68" s="150"/>
      <c r="E68" s="150"/>
      <c r="F68" s="150"/>
      <c r="G68" s="150"/>
      <c r="H68" s="150"/>
      <c r="I68" s="150"/>
    </row>
    <row r="69" spans="1:9" ht="11.25">
      <c r="A69" s="150"/>
      <c r="B69" s="150"/>
      <c r="C69" s="150"/>
      <c r="D69" s="150"/>
      <c r="E69" s="150"/>
      <c r="F69" s="150"/>
      <c r="G69" s="150"/>
      <c r="H69" s="150"/>
      <c r="I69" s="150"/>
    </row>
    <row r="70" spans="1:9" ht="11.25">
      <c r="A70" s="150"/>
      <c r="B70" s="150"/>
      <c r="C70" s="150"/>
      <c r="D70" s="150"/>
      <c r="E70" s="150"/>
      <c r="F70" s="150"/>
      <c r="G70" s="150"/>
      <c r="H70" s="150"/>
      <c r="I70" s="150"/>
    </row>
    <row r="71" spans="1:9" ht="11.25">
      <c r="A71" s="150"/>
      <c r="B71" s="150"/>
      <c r="C71" s="150"/>
      <c r="D71" s="150"/>
      <c r="E71" s="150"/>
      <c r="F71" s="150"/>
      <c r="G71" s="150"/>
      <c r="H71" s="150"/>
      <c r="I71" s="150"/>
    </row>
    <row r="72" spans="1:9" ht="11.25">
      <c r="A72" s="150"/>
      <c r="B72" s="150"/>
      <c r="C72" s="150"/>
      <c r="D72" s="150"/>
      <c r="E72" s="150"/>
      <c r="G72" s="150"/>
      <c r="H72" s="150"/>
      <c r="I72"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rowBreaks count="1" manualBreakCount="1">
    <brk id="40" max="8" man="1"/>
  </rowBreaks>
  <colBreaks count="1" manualBreakCount="1">
    <brk id="13" max="65535" man="1"/>
  </colBreaks>
  <drawing r:id="rId1"/>
</worksheet>
</file>

<file path=xl/worksheets/sheet16.xml><?xml version="1.0" encoding="utf-8"?>
<worksheet xmlns="http://schemas.openxmlformats.org/spreadsheetml/2006/main" xmlns:r="http://schemas.openxmlformats.org/officeDocument/2006/relationships">
  <dimension ref="A1:I61"/>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9.59765625" style="46" bestFit="1" customWidth="1"/>
    <col min="4" max="4" width="2.59765625" style="46" customWidth="1"/>
    <col min="5" max="5" width="4.59765625" style="46" customWidth="1"/>
    <col min="6" max="6" width="31.8984375" style="46" bestFit="1" customWidth="1"/>
    <col min="7" max="7" width="6.8984375" style="46" bestFit="1" customWidth="1"/>
    <col min="8" max="8" width="3.09765625" style="46" bestFit="1"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138</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39" t="s">
        <v>103</v>
      </c>
      <c r="B7" s="12" t="s">
        <v>1</v>
      </c>
      <c r="C7" s="41">
        <f>Summary!C9</f>
        <v>0</v>
      </c>
      <c r="D7" s="8"/>
      <c r="E7" s="39" t="s">
        <v>97</v>
      </c>
      <c r="F7" s="290" t="s">
        <v>201</v>
      </c>
      <c r="G7" s="2"/>
      <c r="H7" s="74" t="s">
        <v>73</v>
      </c>
      <c r="I7" s="20"/>
    </row>
    <row r="8" spans="1:9" ht="12" thickBot="1">
      <c r="A8" s="40"/>
      <c r="B8" s="13" t="s">
        <v>2</v>
      </c>
      <c r="C8" s="42">
        <f>Summary!C10</f>
        <v>0</v>
      </c>
      <c r="D8" s="8"/>
      <c r="E8" s="33"/>
      <c r="F8" s="291" t="s">
        <v>205</v>
      </c>
      <c r="G8" s="4"/>
      <c r="H8" s="75" t="s">
        <v>73</v>
      </c>
      <c r="I8" s="20"/>
    </row>
    <row r="9" spans="1:9" ht="12" thickBot="1">
      <c r="A9" s="69"/>
      <c r="B9" s="8"/>
      <c r="C9" s="8"/>
      <c r="D9" s="8"/>
      <c r="E9" s="33" t="s">
        <v>98</v>
      </c>
      <c r="F9" s="77" t="s">
        <v>26</v>
      </c>
      <c r="G9" s="24">
        <v>296</v>
      </c>
      <c r="H9" s="59" t="s">
        <v>0</v>
      </c>
      <c r="I9" s="20"/>
    </row>
    <row r="10" spans="1:9" ht="11.25">
      <c r="A10" s="39" t="s">
        <v>92</v>
      </c>
      <c r="B10" s="87" t="s">
        <v>25</v>
      </c>
      <c r="C10" s="71"/>
      <c r="D10" s="8"/>
      <c r="E10" s="33"/>
      <c r="F10" s="77" t="s">
        <v>27</v>
      </c>
      <c r="G10" s="24">
        <v>911</v>
      </c>
      <c r="H10" s="59" t="s">
        <v>0</v>
      </c>
      <c r="I10" s="20"/>
    </row>
    <row r="11" spans="1:9" ht="11.25">
      <c r="A11" s="33"/>
      <c r="B11" s="131" t="s">
        <v>159</v>
      </c>
      <c r="C11" s="82">
        <f>(SUM((PRODUCT(G7,G9,G11)),(PRODUCT(G8,G10,G11))))/G12/1000000</f>
        <v>8.267123287671233E-08</v>
      </c>
      <c r="D11" s="8"/>
      <c r="E11" s="33" t="s">
        <v>99</v>
      </c>
      <c r="F11" s="77" t="s">
        <v>28</v>
      </c>
      <c r="G11" s="24">
        <v>0.5</v>
      </c>
      <c r="H11" s="59" t="s">
        <v>0</v>
      </c>
      <c r="I11" s="20"/>
    </row>
    <row r="12" spans="1:9" ht="11.25">
      <c r="A12" s="33" t="s">
        <v>93</v>
      </c>
      <c r="B12" s="84"/>
      <c r="C12" s="49"/>
      <c r="D12" s="8"/>
      <c r="E12" s="33"/>
      <c r="F12" s="77" t="s">
        <v>145</v>
      </c>
      <c r="G12" s="24">
        <v>7300</v>
      </c>
      <c r="H12" s="59" t="s">
        <v>0</v>
      </c>
      <c r="I12" s="20"/>
    </row>
    <row r="13" spans="1:9" ht="11.25">
      <c r="A13" s="33"/>
      <c r="B13" s="130" t="s">
        <v>33</v>
      </c>
      <c r="C13" s="73"/>
      <c r="D13" s="8"/>
      <c r="E13" s="33" t="s">
        <v>94</v>
      </c>
      <c r="F13" s="77" t="s">
        <v>186</v>
      </c>
      <c r="G13" s="24">
        <v>14600000</v>
      </c>
      <c r="H13" s="59" t="s">
        <v>0</v>
      </c>
      <c r="I13" s="20"/>
    </row>
    <row r="14" spans="1:9" ht="11.25">
      <c r="A14" s="33" t="s">
        <v>73</v>
      </c>
      <c r="B14" s="131" t="s">
        <v>162</v>
      </c>
      <c r="C14" s="128">
        <f>PRODUCT(C11,1000000)/G13</f>
        <v>5.6624132107337205E-09</v>
      </c>
      <c r="D14" s="8"/>
      <c r="E14" s="70"/>
      <c r="F14" s="83" t="s">
        <v>14</v>
      </c>
      <c r="G14" s="4"/>
      <c r="H14" s="75" t="s">
        <v>73</v>
      </c>
      <c r="I14" s="20"/>
    </row>
    <row r="15" spans="1:9" ht="12" thickBot="1">
      <c r="A15" s="33"/>
      <c r="B15" s="132"/>
      <c r="C15" s="51"/>
      <c r="D15" s="8"/>
      <c r="E15" s="40" t="s">
        <v>96</v>
      </c>
      <c r="F15" s="78" t="s">
        <v>15</v>
      </c>
      <c r="G15" s="76" t="e">
        <f>LN(2)/G14</f>
        <v>#DIV/0!</v>
      </c>
      <c r="H15" s="64" t="s">
        <v>74</v>
      </c>
      <c r="I15" s="20"/>
    </row>
    <row r="16" spans="1:9" ht="11.25">
      <c r="A16" s="33" t="s">
        <v>94</v>
      </c>
      <c r="B16" s="84" t="s">
        <v>32</v>
      </c>
      <c r="C16" s="49"/>
      <c r="D16" s="8"/>
      <c r="E16" s="69"/>
      <c r="F16" s="8"/>
      <c r="G16" s="8"/>
      <c r="H16" s="8"/>
      <c r="I16" s="20"/>
    </row>
    <row r="17" spans="1:9" ht="11.25">
      <c r="A17" s="33"/>
      <c r="B17" s="131" t="s">
        <v>160</v>
      </c>
      <c r="C17" s="82">
        <f>(SUM((PRODUCT(G7,G9)),(PRODUCT(G8,G10))))/G12/1000000</f>
        <v>1.6534246575342465E-07</v>
      </c>
      <c r="D17" s="8"/>
      <c r="E17" s="69"/>
      <c r="F17" s="8"/>
      <c r="G17" s="8"/>
      <c r="H17" s="8"/>
      <c r="I17" s="20"/>
    </row>
    <row r="18" spans="1:9" ht="11.25">
      <c r="A18" s="33" t="s">
        <v>95</v>
      </c>
      <c r="B18" s="84"/>
      <c r="C18" s="49"/>
      <c r="D18" s="8"/>
      <c r="E18" s="69"/>
      <c r="F18" s="8"/>
      <c r="G18" s="8"/>
      <c r="H18" s="8"/>
      <c r="I18" s="20"/>
    </row>
    <row r="19" spans="1:9" ht="11.25">
      <c r="A19" s="33"/>
      <c r="B19" s="104" t="s">
        <v>34</v>
      </c>
      <c r="C19" s="95"/>
      <c r="D19" s="8"/>
      <c r="E19" s="69"/>
      <c r="F19" s="8"/>
      <c r="G19" s="8"/>
      <c r="H19" s="8"/>
      <c r="I19" s="20"/>
    </row>
    <row r="20" spans="1:9" ht="11.25">
      <c r="A20" s="33" t="s">
        <v>96</v>
      </c>
      <c r="B20" s="99"/>
      <c r="C20" s="97"/>
      <c r="D20" s="8"/>
      <c r="E20" s="69"/>
      <c r="F20" s="8"/>
      <c r="G20" s="8"/>
      <c r="H20" s="8"/>
      <c r="I20" s="20"/>
    </row>
    <row r="21" spans="1:9" ht="11.25">
      <c r="A21" s="70"/>
      <c r="B21" s="99" t="s">
        <v>33</v>
      </c>
      <c r="C21" s="97"/>
      <c r="D21" s="8"/>
      <c r="E21" s="69"/>
      <c r="F21" s="8"/>
      <c r="G21" s="8"/>
      <c r="H21" s="8"/>
      <c r="I21" s="20"/>
    </row>
    <row r="22" spans="1:9" ht="11.25">
      <c r="A22" s="33" t="s">
        <v>73</v>
      </c>
      <c r="B22" s="100" t="s">
        <v>161</v>
      </c>
      <c r="C22" s="90" t="e">
        <f>PRODUCT(C28,C29,1000000)</f>
        <v>#DIV/0!</v>
      </c>
      <c r="D22" s="8"/>
      <c r="E22" s="68"/>
      <c r="F22" s="8"/>
      <c r="G22" s="8"/>
      <c r="H22" s="8"/>
      <c r="I22" s="20"/>
    </row>
    <row r="23" spans="1:9" ht="12" thickBot="1">
      <c r="A23" s="40"/>
      <c r="B23" s="101"/>
      <c r="C23" s="98"/>
      <c r="D23" s="8"/>
      <c r="E23" s="8"/>
      <c r="F23" s="8"/>
      <c r="G23" s="8"/>
      <c r="H23" s="8"/>
      <c r="I23" s="20"/>
    </row>
    <row r="24" spans="1:9" ht="11.25">
      <c r="A24" s="18"/>
      <c r="B24" s="8" t="s">
        <v>112</v>
      </c>
      <c r="C24" s="8" t="e">
        <f>EXP(-PRODUCT(G11,G15))</f>
        <v>#DIV/0!</v>
      </c>
      <c r="D24" s="8"/>
      <c r="E24" s="8"/>
      <c r="F24" s="8"/>
      <c r="G24" s="8"/>
      <c r="H24" s="8"/>
      <c r="I24" s="20"/>
    </row>
    <row r="25" spans="1:9" ht="11.25">
      <c r="A25" s="18"/>
      <c r="B25" s="8" t="s">
        <v>111</v>
      </c>
      <c r="C25" s="8" t="e">
        <f>1-C24</f>
        <v>#DIV/0!</v>
      </c>
      <c r="D25" s="8"/>
      <c r="E25" s="8"/>
      <c r="F25" s="8"/>
      <c r="G25" s="8"/>
      <c r="H25" s="8"/>
      <c r="I25" s="20"/>
    </row>
    <row r="26" spans="1:9" ht="11.25">
      <c r="A26" s="18"/>
      <c r="B26" s="8" t="s">
        <v>76</v>
      </c>
      <c r="C26" s="8" t="e">
        <f>PRODUCT(G11,G15)</f>
        <v>#DIV/0!</v>
      </c>
      <c r="D26" s="8"/>
      <c r="E26" s="8"/>
      <c r="F26" s="8"/>
      <c r="G26" s="8"/>
      <c r="H26" s="8"/>
      <c r="I26" s="20"/>
    </row>
    <row r="27" spans="1:9" ht="11.25">
      <c r="A27" s="18"/>
      <c r="B27" s="8" t="s">
        <v>77</v>
      </c>
      <c r="C27" s="8" t="e">
        <f>C25/C26</f>
        <v>#DIV/0!</v>
      </c>
      <c r="D27" s="8"/>
      <c r="E27" s="8"/>
      <c r="F27" s="8"/>
      <c r="G27" s="8"/>
      <c r="H27" s="8"/>
      <c r="I27" s="20"/>
    </row>
    <row r="28" spans="1:9" ht="11.25">
      <c r="A28" s="18"/>
      <c r="B28" s="8" t="s">
        <v>78</v>
      </c>
      <c r="C28" s="8" t="e">
        <f>1-C27</f>
        <v>#DIV/0!</v>
      </c>
      <c r="D28" s="8"/>
      <c r="E28" s="8"/>
      <c r="F28" s="8"/>
      <c r="G28" s="8"/>
      <c r="H28" s="8"/>
      <c r="I28" s="20"/>
    </row>
    <row r="29" spans="1:9" ht="12" thickBot="1">
      <c r="A29" s="22"/>
      <c r="B29" s="21" t="s">
        <v>158</v>
      </c>
      <c r="C29" s="21" t="e">
        <f>C17/G13/G15</f>
        <v>#DIV/0!</v>
      </c>
      <c r="D29" s="21"/>
      <c r="E29" s="21"/>
      <c r="F29" s="21"/>
      <c r="G29" s="21"/>
      <c r="H29" s="21"/>
      <c r="I29" s="17"/>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row r="59" spans="1:9" ht="11.25">
      <c r="A59" s="150"/>
      <c r="B59" s="150"/>
      <c r="C59" s="150"/>
      <c r="D59" s="150"/>
      <c r="E59" s="150"/>
      <c r="F59" s="150"/>
      <c r="G59" s="150"/>
      <c r="H59" s="150"/>
      <c r="I59" s="150"/>
    </row>
    <row r="60" spans="1:9" ht="11.25">
      <c r="A60" s="150"/>
      <c r="B60" s="150"/>
      <c r="C60" s="150"/>
      <c r="D60" s="150"/>
      <c r="E60" s="150"/>
      <c r="F60" s="150"/>
      <c r="G60" s="150"/>
      <c r="H60" s="150"/>
      <c r="I60" s="150"/>
    </row>
    <row r="61" spans="1:9" ht="11.25">
      <c r="A61" s="150"/>
      <c r="B61" s="150"/>
      <c r="C61" s="150"/>
      <c r="D61" s="150"/>
      <c r="E61" s="150"/>
      <c r="F61" s="150"/>
      <c r="G61" s="150"/>
      <c r="H61" s="150"/>
      <c r="I61"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7.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1" sqref="A1"/>
    </sheetView>
  </sheetViews>
  <sheetFormatPr defaultColWidth="8.796875" defaultRowHeight="14.25"/>
  <cols>
    <col min="1" max="1" width="4.59765625" style="46" customWidth="1"/>
    <col min="2" max="2" width="32.5" style="46" customWidth="1"/>
    <col min="3" max="3" width="8.8984375" style="46" customWidth="1"/>
    <col min="4" max="4" width="3.59765625" style="46" customWidth="1"/>
    <col min="5" max="5" width="4.59765625" style="46" customWidth="1"/>
    <col min="6" max="6" width="27" style="46" customWidth="1"/>
    <col min="7" max="7" width="8.09765625" style="46" customWidth="1"/>
    <col min="8" max="8" width="3.59765625" style="46"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69</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39" t="s">
        <v>103</v>
      </c>
      <c r="B7" s="79" t="s">
        <v>1</v>
      </c>
      <c r="C7" s="41">
        <f>Summary!C9</f>
        <v>0</v>
      </c>
      <c r="D7" s="8"/>
      <c r="E7" s="34"/>
      <c r="F7" s="56" t="s">
        <v>30</v>
      </c>
      <c r="G7" s="57">
        <v>125</v>
      </c>
      <c r="H7" s="58" t="s">
        <v>0</v>
      </c>
      <c r="I7" s="20"/>
    </row>
    <row r="8" spans="1:9" ht="12" thickBot="1">
      <c r="A8" s="30"/>
      <c r="B8" s="80" t="s">
        <v>2</v>
      </c>
      <c r="C8" s="42">
        <f>Summary!C10</f>
        <v>0</v>
      </c>
      <c r="D8" s="8"/>
      <c r="E8" s="33"/>
      <c r="F8" s="3" t="s">
        <v>174</v>
      </c>
      <c r="G8" s="4"/>
      <c r="H8" s="75" t="s">
        <v>73</v>
      </c>
      <c r="I8" s="20"/>
    </row>
    <row r="9" spans="1:9" ht="12" thickBot="1">
      <c r="A9" s="48"/>
      <c r="B9" s="8"/>
      <c r="C9" s="8"/>
      <c r="D9" s="8"/>
      <c r="E9" s="33"/>
      <c r="F9" s="3" t="s">
        <v>202</v>
      </c>
      <c r="G9" s="4"/>
      <c r="H9" s="75" t="s">
        <v>73</v>
      </c>
      <c r="I9" s="20"/>
    </row>
    <row r="10" spans="1:9" ht="11.25">
      <c r="A10" s="39" t="s">
        <v>92</v>
      </c>
      <c r="B10" s="5" t="s">
        <v>68</v>
      </c>
      <c r="C10" s="43"/>
      <c r="D10" s="8"/>
      <c r="E10" s="33" t="s">
        <v>97</v>
      </c>
      <c r="F10" s="3" t="s">
        <v>203</v>
      </c>
      <c r="G10" s="4"/>
      <c r="H10" s="75" t="s">
        <v>73</v>
      </c>
      <c r="I10" s="20"/>
    </row>
    <row r="11" spans="1:9" ht="11.25">
      <c r="A11" s="33"/>
      <c r="B11" s="7" t="s">
        <v>66</v>
      </c>
      <c r="C11" s="81">
        <f>PRODUCT(G7:G11,0.01)</f>
        <v>0.0625</v>
      </c>
      <c r="D11" s="8"/>
      <c r="E11" s="33"/>
      <c r="F11" s="23" t="s">
        <v>31</v>
      </c>
      <c r="G11" s="24">
        <v>0.05</v>
      </c>
      <c r="H11" s="59" t="s">
        <v>0</v>
      </c>
      <c r="I11" s="20"/>
    </row>
    <row r="12" spans="1:9" ht="11.25">
      <c r="A12" s="33" t="s">
        <v>93</v>
      </c>
      <c r="B12" s="7" t="s">
        <v>67</v>
      </c>
      <c r="C12" s="81">
        <f>PRODUCT(G7:G10,G12,0.01)</f>
        <v>0.0375</v>
      </c>
      <c r="D12" s="8"/>
      <c r="E12" s="33" t="s">
        <v>98</v>
      </c>
      <c r="F12" s="60" t="s">
        <v>65</v>
      </c>
      <c r="G12" s="61">
        <v>0.03</v>
      </c>
      <c r="H12" s="62" t="s">
        <v>0</v>
      </c>
      <c r="I12" s="20"/>
    </row>
    <row r="13" spans="1:9" ht="11.25">
      <c r="A13" s="33"/>
      <c r="B13" s="50"/>
      <c r="C13" s="51"/>
      <c r="D13" s="8"/>
      <c r="E13" s="33"/>
      <c r="F13" s="23" t="s">
        <v>50</v>
      </c>
      <c r="G13" s="24">
        <v>17.5</v>
      </c>
      <c r="H13" s="59" t="s">
        <v>0</v>
      </c>
      <c r="I13" s="20"/>
    </row>
    <row r="14" spans="1:9" ht="11.25">
      <c r="A14" s="33" t="s">
        <v>73</v>
      </c>
      <c r="B14" s="93" t="s">
        <v>18</v>
      </c>
      <c r="C14" s="97"/>
      <c r="D14" s="8"/>
      <c r="E14" s="33" t="s">
        <v>99</v>
      </c>
      <c r="F14" s="23" t="s">
        <v>51</v>
      </c>
      <c r="G14" s="24">
        <v>7.5</v>
      </c>
      <c r="H14" s="59" t="s">
        <v>0</v>
      </c>
      <c r="I14" s="20"/>
    </row>
    <row r="15" spans="1:9" ht="11.25">
      <c r="A15" s="33"/>
      <c r="B15" s="89" t="s">
        <v>227</v>
      </c>
      <c r="C15" s="105">
        <f>PRODUCT(C11,1000000)/G18/G21</f>
        <v>293.53058588704664</v>
      </c>
      <c r="D15" s="8"/>
      <c r="E15" s="33"/>
      <c r="F15" s="23" t="s">
        <v>55</v>
      </c>
      <c r="G15" s="24">
        <v>0.025</v>
      </c>
      <c r="H15" s="59" t="s">
        <v>0</v>
      </c>
      <c r="I15" s="20"/>
    </row>
    <row r="16" spans="1:9" ht="11.25">
      <c r="A16" s="33" t="s">
        <v>94</v>
      </c>
      <c r="B16" s="89" t="s">
        <v>228</v>
      </c>
      <c r="C16" s="105">
        <f>PRODUCT(C12,1000000)/G18/G21</f>
        <v>176.118351532228</v>
      </c>
      <c r="D16" s="8"/>
      <c r="E16" s="33" t="s">
        <v>94</v>
      </c>
      <c r="F16" s="23" t="s">
        <v>56</v>
      </c>
      <c r="G16" s="24">
        <v>0.1</v>
      </c>
      <c r="H16" s="59" t="s">
        <v>0</v>
      </c>
      <c r="I16" s="20"/>
    </row>
    <row r="17" spans="1:9" ht="11.25">
      <c r="A17" s="33"/>
      <c r="B17" s="89" t="s">
        <v>229</v>
      </c>
      <c r="C17" s="105">
        <f>PRODUCT(C11,1000000)/G19/G21</f>
        <v>72.94584500466809</v>
      </c>
      <c r="D17" s="8"/>
      <c r="E17" s="33"/>
      <c r="F17" s="23" t="s">
        <v>57</v>
      </c>
      <c r="G17" s="24">
        <v>0.5</v>
      </c>
      <c r="H17" s="59" t="s">
        <v>0</v>
      </c>
      <c r="I17" s="20"/>
    </row>
    <row r="18" spans="1:9" ht="11.25">
      <c r="A18" s="33" t="s">
        <v>95</v>
      </c>
      <c r="B18" s="89" t="s">
        <v>230</v>
      </c>
      <c r="C18" s="105">
        <f>PRODUCT(C12,1000000)/G19/G21</f>
        <v>43.76750700280085</v>
      </c>
      <c r="D18" s="8"/>
      <c r="E18" s="33" t="s">
        <v>96</v>
      </c>
      <c r="F18" s="23" t="s">
        <v>173</v>
      </c>
      <c r="G18" s="63">
        <f>PRODUCT(G23,(SUM(G13,G15,G15)),(SUM(G14,G15,G15)))-PRODUCT(G13:G14,G23)</f>
        <v>0.1252500000000012</v>
      </c>
      <c r="H18" s="59" t="s">
        <v>74</v>
      </c>
      <c r="I18" s="20"/>
    </row>
    <row r="19" spans="1:9" ht="11.25">
      <c r="A19" s="33"/>
      <c r="B19" s="89" t="s">
        <v>231</v>
      </c>
      <c r="C19" s="105">
        <f>PRODUCT(C11,1000000)/G20/G21</f>
        <v>14.140271493212662</v>
      </c>
      <c r="D19" s="8"/>
      <c r="E19" s="33"/>
      <c r="F19" s="23" t="s">
        <v>58</v>
      </c>
      <c r="G19" s="63">
        <f>PRODUCT(G23,(SUM(G13,G16,G16)),(SUM(G14,G16,G16)))-PRODUCT(G13:G14,G23)</f>
        <v>0.5040000000000031</v>
      </c>
      <c r="H19" s="59" t="s">
        <v>74</v>
      </c>
      <c r="I19" s="20"/>
    </row>
    <row r="20" spans="1:9" ht="11.25">
      <c r="A20" s="33" t="s">
        <v>96</v>
      </c>
      <c r="B20" s="89" t="s">
        <v>232</v>
      </c>
      <c r="C20" s="105">
        <f>PRODUCT(C12,1000000)/G20/G21</f>
        <v>8.484162895927597</v>
      </c>
      <c r="D20" s="8"/>
      <c r="E20" s="33"/>
      <c r="F20" s="23" t="s">
        <v>59</v>
      </c>
      <c r="G20" s="63">
        <f>PRODUCT(G23,(SUM(G13,G17,G17)),(SUM(G14,G17,G17)))-PRODUCT(G13:G14,G23)</f>
        <v>2.6000000000000014</v>
      </c>
      <c r="H20" s="59" t="s">
        <v>74</v>
      </c>
      <c r="I20" s="20"/>
    </row>
    <row r="21" spans="1:9" ht="11.25">
      <c r="A21" s="70"/>
      <c r="B21" s="93"/>
      <c r="C21" s="133"/>
      <c r="D21" s="8"/>
      <c r="E21" s="33"/>
      <c r="F21" s="23" t="s">
        <v>7</v>
      </c>
      <c r="G21" s="24">
        <v>1700</v>
      </c>
      <c r="H21" s="59" t="s">
        <v>0</v>
      </c>
      <c r="I21" s="20"/>
    </row>
    <row r="22" spans="1:9" ht="11.25">
      <c r="A22" s="33" t="s">
        <v>73</v>
      </c>
      <c r="B22" s="93"/>
      <c r="C22" s="133"/>
      <c r="D22" s="8"/>
      <c r="E22" s="107"/>
      <c r="F22" s="60" t="s">
        <v>35</v>
      </c>
      <c r="G22" s="61">
        <v>30</v>
      </c>
      <c r="H22" s="62" t="s">
        <v>0</v>
      </c>
      <c r="I22" s="20"/>
    </row>
    <row r="23" spans="1:9" ht="12" thickBot="1">
      <c r="A23" s="40"/>
      <c r="B23" s="96"/>
      <c r="C23" s="134"/>
      <c r="D23" s="8"/>
      <c r="E23" s="30"/>
      <c r="F23" s="25" t="s">
        <v>177</v>
      </c>
      <c r="G23" s="26">
        <v>0.1</v>
      </c>
      <c r="H23" s="64" t="s">
        <v>0</v>
      </c>
      <c r="I23" s="20"/>
    </row>
    <row r="24" spans="1:9" ht="11.25">
      <c r="A24" s="18"/>
      <c r="B24" s="8"/>
      <c r="C24" s="8"/>
      <c r="D24" s="8"/>
      <c r="E24" s="8"/>
      <c r="F24" s="8"/>
      <c r="G24" s="8"/>
      <c r="H24" s="8"/>
      <c r="I24" s="20"/>
    </row>
    <row r="25" spans="1:9" ht="11.25">
      <c r="A25" s="18"/>
      <c r="B25" s="8"/>
      <c r="C25" s="8"/>
      <c r="D25" s="8"/>
      <c r="E25" s="8"/>
      <c r="F25" s="159"/>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2" customHeight="1">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2.xml><?xml version="1.0" encoding="utf-8"?>
<worksheet xmlns="http://schemas.openxmlformats.org/spreadsheetml/2006/main" xmlns:r="http://schemas.openxmlformats.org/officeDocument/2006/relationships">
  <dimension ref="A2:S51"/>
  <sheetViews>
    <sheetView tabSelected="1" zoomScaleSheetLayoutView="75" workbookViewId="0" topLeftCell="A4">
      <selection activeCell="C44" sqref="C44"/>
    </sheetView>
  </sheetViews>
  <sheetFormatPr defaultColWidth="8.796875" defaultRowHeight="14.25"/>
  <cols>
    <col min="1" max="1" width="2.19921875" style="226" customWidth="1"/>
    <col min="2" max="2" width="38.8984375" style="226" customWidth="1"/>
    <col min="3" max="14" width="7.3984375" style="226" customWidth="1"/>
    <col min="15" max="15" width="9.09765625" style="226" customWidth="1"/>
    <col min="16" max="16" width="13" style="226" customWidth="1"/>
    <col min="17" max="18" width="7.3984375" style="226" customWidth="1"/>
    <col min="19" max="16384" width="8.8984375" style="226" customWidth="1"/>
  </cols>
  <sheetData>
    <row r="1" ht="12.75" thickBot="1"/>
    <row r="2" spans="2:10" ht="76.5" customHeight="1" thickBot="1" thickTop="1">
      <c r="B2" s="227" t="s">
        <v>83</v>
      </c>
      <c r="C2" s="307" t="s">
        <v>126</v>
      </c>
      <c r="D2" s="308"/>
      <c r="E2" s="308"/>
      <c r="F2" s="308"/>
      <c r="G2" s="308"/>
      <c r="H2" s="308"/>
      <c r="I2" s="308"/>
      <c r="J2" s="309"/>
    </row>
    <row r="3" ht="13.5" thickBot="1" thickTop="1"/>
    <row r="4" spans="1:18" s="232" customFormat="1" ht="12.75">
      <c r="A4" s="228"/>
      <c r="B4" s="229" t="s">
        <v>124</v>
      </c>
      <c r="C4" s="230"/>
      <c r="D4" s="230"/>
      <c r="E4" s="230"/>
      <c r="F4" s="230"/>
      <c r="G4" s="230"/>
      <c r="H4" s="230"/>
      <c r="I4" s="230"/>
      <c r="J4" s="230"/>
      <c r="K4" s="230"/>
      <c r="L4" s="230"/>
      <c r="M4" s="230"/>
      <c r="N4" s="230"/>
      <c r="O4" s="230"/>
      <c r="P4" s="230"/>
      <c r="Q4" s="230"/>
      <c r="R4" s="231"/>
    </row>
    <row r="5" spans="1:18" s="232" customFormat="1" ht="12.75">
      <c r="A5" s="233"/>
      <c r="B5" s="234" t="s">
        <v>122</v>
      </c>
      <c r="C5" s="288"/>
      <c r="D5" s="235"/>
      <c r="E5" s="235"/>
      <c r="F5" s="235"/>
      <c r="G5" s="235"/>
      <c r="H5" s="235"/>
      <c r="I5" s="235"/>
      <c r="J5" s="235"/>
      <c r="K5" s="235"/>
      <c r="L5" s="235"/>
      <c r="M5" s="235"/>
      <c r="N5" s="235"/>
      <c r="O5" s="235"/>
      <c r="P5" s="235"/>
      <c r="Q5" s="235"/>
      <c r="R5" s="236"/>
    </row>
    <row r="6" spans="1:18" s="232" customFormat="1" ht="12.75">
      <c r="A6" s="237"/>
      <c r="B6" s="238" t="s">
        <v>123</v>
      </c>
      <c r="C6" s="248"/>
      <c r="D6" s="239"/>
      <c r="E6" s="239"/>
      <c r="F6" s="239"/>
      <c r="G6" s="239"/>
      <c r="H6" s="239"/>
      <c r="I6" s="239"/>
      <c r="J6" s="239"/>
      <c r="K6" s="239"/>
      <c r="L6" s="239"/>
      <c r="M6" s="239"/>
      <c r="N6" s="239"/>
      <c r="O6" s="239"/>
      <c r="P6" s="239"/>
      <c r="Q6" s="239"/>
      <c r="R6" s="240"/>
    </row>
    <row r="7" spans="1:18" s="232" customFormat="1" ht="12.75">
      <c r="A7" s="241"/>
      <c r="B7" s="242" t="s">
        <v>125</v>
      </c>
      <c r="C7" s="243"/>
      <c r="D7" s="244"/>
      <c r="E7" s="244"/>
      <c r="F7" s="244"/>
      <c r="G7" s="244"/>
      <c r="H7" s="244"/>
      <c r="I7" s="244"/>
      <c r="J7" s="244"/>
      <c r="K7" s="244"/>
      <c r="L7" s="244"/>
      <c r="M7" s="244"/>
      <c r="N7" s="244"/>
      <c r="O7" s="244"/>
      <c r="P7" s="244"/>
      <c r="Q7" s="244"/>
      <c r="R7" s="245"/>
    </row>
    <row r="8" spans="1:18" s="232" customFormat="1" ht="12.75">
      <c r="A8" s="186"/>
      <c r="B8" s="246"/>
      <c r="C8" s="246"/>
      <c r="D8" s="185"/>
      <c r="E8" s="185"/>
      <c r="F8" s="185"/>
      <c r="G8" s="185"/>
      <c r="H8" s="185"/>
      <c r="I8" s="185"/>
      <c r="J8" s="185"/>
      <c r="K8" s="185"/>
      <c r="L8" s="185"/>
      <c r="M8" s="185"/>
      <c r="N8" s="185"/>
      <c r="O8" s="185"/>
      <c r="P8" s="185"/>
      <c r="Q8" s="185"/>
      <c r="R8" s="247"/>
    </row>
    <row r="9" spans="1:18" s="232" customFormat="1" ht="12.75">
      <c r="A9" s="287"/>
      <c r="B9" s="238" t="s">
        <v>129</v>
      </c>
      <c r="C9" s="295"/>
      <c r="D9" s="249"/>
      <c r="E9" s="185"/>
      <c r="F9" s="185"/>
      <c r="G9" s="185"/>
      <c r="H9" s="185"/>
      <c r="I9" s="185"/>
      <c r="J9" s="185"/>
      <c r="K9" s="185"/>
      <c r="L9" s="185"/>
      <c r="M9" s="185"/>
      <c r="N9" s="185"/>
      <c r="O9" s="185"/>
      <c r="P9" s="185"/>
      <c r="Q9" s="185"/>
      <c r="R9" s="247"/>
    </row>
    <row r="10" spans="1:18" s="232" customFormat="1" ht="12.75">
      <c r="A10" s="241"/>
      <c r="B10" s="242" t="s">
        <v>130</v>
      </c>
      <c r="C10" s="242"/>
      <c r="D10" s="250"/>
      <c r="E10" s="185"/>
      <c r="F10" s="185"/>
      <c r="G10" s="185"/>
      <c r="H10" s="185"/>
      <c r="I10" s="185"/>
      <c r="J10" s="185"/>
      <c r="K10" s="185"/>
      <c r="L10" s="185"/>
      <c r="M10" s="185"/>
      <c r="N10" s="185"/>
      <c r="O10" s="185"/>
      <c r="P10" s="185"/>
      <c r="Q10" s="185"/>
      <c r="R10" s="247"/>
    </row>
    <row r="11" spans="1:18" ht="12" thickBot="1">
      <c r="A11" s="251"/>
      <c r="B11" s="252"/>
      <c r="C11" s="253"/>
      <c r="D11" s="253"/>
      <c r="E11" s="253"/>
      <c r="F11" s="253"/>
      <c r="G11" s="253"/>
      <c r="H11" s="253"/>
      <c r="I11" s="253"/>
      <c r="J11" s="253"/>
      <c r="K11" s="253"/>
      <c r="L11" s="253"/>
      <c r="M11" s="253"/>
      <c r="N11" s="253"/>
      <c r="O11" s="253"/>
      <c r="P11" s="253"/>
      <c r="Q11" s="253"/>
      <c r="R11" s="254"/>
    </row>
    <row r="12" spans="1:19" ht="12" customHeight="1" thickBot="1">
      <c r="A12" s="299" t="s">
        <v>192</v>
      </c>
      <c r="B12" s="255"/>
      <c r="C12" s="304" t="s">
        <v>72</v>
      </c>
      <c r="D12" s="305"/>
      <c r="E12" s="305"/>
      <c r="F12" s="305"/>
      <c r="G12" s="305"/>
      <c r="H12" s="305"/>
      <c r="I12" s="305"/>
      <c r="J12" s="305"/>
      <c r="K12" s="305"/>
      <c r="L12" s="305"/>
      <c r="M12" s="305"/>
      <c r="N12" s="305"/>
      <c r="O12" s="305"/>
      <c r="P12" s="305"/>
      <c r="Q12" s="305"/>
      <c r="R12" s="306"/>
      <c r="S12" s="256"/>
    </row>
    <row r="13" spans="1:19" ht="12" thickBot="1">
      <c r="A13" s="300"/>
      <c r="B13" s="257"/>
      <c r="C13" s="278" t="s">
        <v>84</v>
      </c>
      <c r="D13" s="279"/>
      <c r="E13" s="279"/>
      <c r="F13" s="280"/>
      <c r="G13" s="270" t="s">
        <v>85</v>
      </c>
      <c r="H13" s="271"/>
      <c r="I13" s="271"/>
      <c r="J13" s="271"/>
      <c r="K13" s="271"/>
      <c r="L13" s="271"/>
      <c r="M13" s="271"/>
      <c r="N13" s="272"/>
      <c r="O13" s="273" t="s">
        <v>86</v>
      </c>
      <c r="P13" s="274"/>
      <c r="Q13" s="270" t="s">
        <v>101</v>
      </c>
      <c r="R13" s="272"/>
      <c r="S13" s="256"/>
    </row>
    <row r="14" spans="1:19" ht="12" thickBot="1">
      <c r="A14" s="300"/>
      <c r="B14" s="255"/>
      <c r="C14" s="281" t="s">
        <v>44</v>
      </c>
      <c r="D14" s="279"/>
      <c r="E14" s="281" t="s">
        <v>131</v>
      </c>
      <c r="F14" s="279"/>
      <c r="G14" s="275" t="s">
        <v>45</v>
      </c>
      <c r="H14" s="271"/>
      <c r="I14" s="275" t="s">
        <v>46</v>
      </c>
      <c r="J14" s="271"/>
      <c r="K14" s="275" t="s">
        <v>64</v>
      </c>
      <c r="L14" s="271"/>
      <c r="M14" s="275" t="s">
        <v>47</v>
      </c>
      <c r="N14" s="272"/>
      <c r="O14" s="302" t="s">
        <v>225</v>
      </c>
      <c r="P14" s="303"/>
      <c r="Q14" s="276" t="s">
        <v>48</v>
      </c>
      <c r="R14" s="277"/>
      <c r="S14" s="256"/>
    </row>
    <row r="15" spans="1:19" ht="15" customHeight="1" thickBot="1">
      <c r="A15" s="300"/>
      <c r="B15" s="258"/>
      <c r="C15" s="259" t="s">
        <v>81</v>
      </c>
      <c r="D15" s="166" t="s">
        <v>82</v>
      </c>
      <c r="E15" s="259" t="s">
        <v>81</v>
      </c>
      <c r="F15" s="166" t="s">
        <v>82</v>
      </c>
      <c r="G15" s="259" t="s">
        <v>81</v>
      </c>
      <c r="H15" s="166" t="s">
        <v>82</v>
      </c>
      <c r="I15" s="259" t="s">
        <v>81</v>
      </c>
      <c r="J15" s="166" t="s">
        <v>82</v>
      </c>
      <c r="K15" s="259" t="s">
        <v>81</v>
      </c>
      <c r="L15" s="166" t="s">
        <v>82</v>
      </c>
      <c r="M15" s="259" t="s">
        <v>81</v>
      </c>
      <c r="N15" s="166" t="s">
        <v>82</v>
      </c>
      <c r="O15" s="259" t="s">
        <v>226</v>
      </c>
      <c r="P15" s="258" t="s">
        <v>226</v>
      </c>
      <c r="Q15" s="259" t="s">
        <v>81</v>
      </c>
      <c r="R15" s="166" t="s">
        <v>82</v>
      </c>
      <c r="S15" s="260"/>
    </row>
    <row r="16" spans="1:19" ht="14.25" customHeight="1" thickBot="1">
      <c r="A16" s="300"/>
      <c r="B16" s="285" t="s">
        <v>175</v>
      </c>
      <c r="C16" s="165">
        <f>'Automated Spraying'!G18</f>
        <v>30</v>
      </c>
      <c r="D16" s="166">
        <f>'Automated Spraying-2'!G18</f>
        <v>3650</v>
      </c>
      <c r="E16" s="167">
        <f>'Dipping-immersion'!G16</f>
        <v>30</v>
      </c>
      <c r="F16" s="168">
        <f>'Dipping-immersion-2'!G16</f>
        <v>1825</v>
      </c>
      <c r="G16" s="167">
        <f>House!G19</f>
        <v>30</v>
      </c>
      <c r="H16" s="166">
        <f>'House-2'!G19</f>
        <v>7300</v>
      </c>
      <c r="I16" s="167">
        <f>'Fence post'!G19</f>
        <v>30</v>
      </c>
      <c r="J16" s="168">
        <f>'Fence post-2'!G19</f>
        <v>3650</v>
      </c>
      <c r="K16" s="167">
        <f>'Transmission pole'!G18</f>
        <v>30</v>
      </c>
      <c r="L16" s="166">
        <f>'Transmission pole-2'!G18</f>
        <v>7300</v>
      </c>
      <c r="M16" s="167">
        <f>'Jetty in lake'!$G$10</f>
        <v>30</v>
      </c>
      <c r="N16" s="168">
        <f>'Jetty in lake-2'!G10</f>
        <v>3650</v>
      </c>
      <c r="O16" s="167">
        <f>'Brushing house outdoor-applic.'!G22</f>
        <v>30</v>
      </c>
      <c r="P16" s="167">
        <f>'Brushing house outdoor-applic.'!$G$22</f>
        <v>30</v>
      </c>
      <c r="Q16" s="167">
        <f>Wharf!$G$12</f>
        <v>30</v>
      </c>
      <c r="R16" s="166">
        <f>'Wharf-2'!G12</f>
        <v>7300</v>
      </c>
      <c r="S16" s="260"/>
    </row>
    <row r="17" spans="1:19" ht="15" customHeight="1" thickBot="1">
      <c r="A17" s="300"/>
      <c r="B17" s="179"/>
      <c r="C17" s="169"/>
      <c r="D17" s="170"/>
      <c r="E17" s="171"/>
      <c r="F17" s="172"/>
      <c r="G17" s="169"/>
      <c r="H17" s="170"/>
      <c r="I17" s="171"/>
      <c r="J17" s="172"/>
      <c r="K17" s="169"/>
      <c r="L17" s="170"/>
      <c r="M17" s="171"/>
      <c r="N17" s="172"/>
      <c r="O17" s="298" t="s">
        <v>87</v>
      </c>
      <c r="P17" s="297" t="s">
        <v>88</v>
      </c>
      <c r="Q17" s="169"/>
      <c r="R17" s="170"/>
      <c r="S17" s="260"/>
    </row>
    <row r="18" spans="1:19" ht="15" customHeight="1" thickBot="1">
      <c r="A18" s="300"/>
      <c r="B18" s="261" t="s">
        <v>23</v>
      </c>
      <c r="C18" s="173"/>
      <c r="D18" s="174"/>
      <c r="E18" s="175"/>
      <c r="F18" s="176"/>
      <c r="G18" s="177"/>
      <c r="H18" s="175"/>
      <c r="I18" s="175"/>
      <c r="J18" s="175"/>
      <c r="K18" s="175"/>
      <c r="L18" s="175"/>
      <c r="M18" s="175"/>
      <c r="N18" s="178"/>
      <c r="O18" s="179"/>
      <c r="P18" s="176"/>
      <c r="Q18" s="180"/>
      <c r="R18" s="178"/>
      <c r="S18" s="262"/>
    </row>
    <row r="19" spans="1:19" ht="12.75">
      <c r="A19" s="300"/>
      <c r="B19" s="283" t="s">
        <v>20</v>
      </c>
      <c r="C19" s="190">
        <f>'Automated Spraying'!C11</f>
        <v>0.01</v>
      </c>
      <c r="D19" s="191">
        <f>'Automated Spraying-2'!C11</f>
        <v>0.01</v>
      </c>
      <c r="E19" s="181">
        <f>'Dipping-immersion'!C11</f>
        <v>0.01</v>
      </c>
      <c r="F19" s="182">
        <f>'Dipping-immersion-2'!C11</f>
        <v>0.01</v>
      </c>
      <c r="G19" s="183"/>
      <c r="H19" s="181"/>
      <c r="I19" s="181"/>
      <c r="J19" s="181"/>
      <c r="K19" s="181"/>
      <c r="L19" s="181"/>
      <c r="M19" s="181"/>
      <c r="N19" s="184"/>
      <c r="O19" s="185"/>
      <c r="P19" s="182"/>
      <c r="Q19" s="186"/>
      <c r="R19" s="184"/>
      <c r="S19" s="262"/>
    </row>
    <row r="20" spans="1:19" ht="13.5" thickBot="1">
      <c r="A20" s="300"/>
      <c r="B20" s="284" t="s">
        <v>191</v>
      </c>
      <c r="C20" s="183"/>
      <c r="D20" s="187"/>
      <c r="E20" s="188" t="s">
        <v>62</v>
      </c>
      <c r="F20" s="189" t="s">
        <v>62</v>
      </c>
      <c r="G20" s="183"/>
      <c r="H20" s="181"/>
      <c r="I20" s="181"/>
      <c r="J20" s="181"/>
      <c r="K20" s="181"/>
      <c r="L20" s="181"/>
      <c r="M20" s="181"/>
      <c r="N20" s="184"/>
      <c r="O20" s="185"/>
      <c r="P20" s="182"/>
      <c r="Q20" s="186"/>
      <c r="R20" s="184"/>
      <c r="S20" s="262"/>
    </row>
    <row r="21" spans="1:19" ht="13.5" customHeight="1" thickBot="1">
      <c r="A21" s="300"/>
      <c r="B21" s="261" t="s">
        <v>16</v>
      </c>
      <c r="C21" s="183"/>
      <c r="D21" s="187"/>
      <c r="E21" s="181"/>
      <c r="F21" s="182"/>
      <c r="G21" s="183"/>
      <c r="H21" s="181"/>
      <c r="I21" s="181"/>
      <c r="J21" s="181"/>
      <c r="K21" s="181"/>
      <c r="L21" s="181"/>
      <c r="M21" s="181"/>
      <c r="N21" s="184"/>
      <c r="O21" s="185"/>
      <c r="P21" s="182"/>
      <c r="Q21" s="186"/>
      <c r="R21" s="184"/>
      <c r="S21" s="262"/>
    </row>
    <row r="22" spans="1:19" ht="12.75">
      <c r="A22" s="300"/>
      <c r="B22" s="246" t="s">
        <v>89</v>
      </c>
      <c r="C22" s="183">
        <f>'Automated Spraying'!C14</f>
        <v>0.02</v>
      </c>
      <c r="D22" s="187">
        <f>'Automated Spraying-2'!C14</f>
        <v>0.02</v>
      </c>
      <c r="E22" s="181">
        <f>'Dipping-immersion'!C14</f>
        <v>0</v>
      </c>
      <c r="F22" s="182">
        <f>'Dipping-immersion-2'!C14</f>
        <v>0</v>
      </c>
      <c r="G22" s="183"/>
      <c r="H22" s="181"/>
      <c r="I22" s="181"/>
      <c r="J22" s="181"/>
      <c r="K22" s="181"/>
      <c r="L22" s="181"/>
      <c r="M22" s="181"/>
      <c r="N22" s="184"/>
      <c r="O22" s="185"/>
      <c r="P22" s="182"/>
      <c r="Q22" s="186"/>
      <c r="R22" s="184"/>
      <c r="S22" s="262"/>
    </row>
    <row r="23" spans="1:19" ht="13.5" thickBot="1">
      <c r="A23" s="300"/>
      <c r="B23" s="185"/>
      <c r="C23" s="183"/>
      <c r="D23" s="187"/>
      <c r="E23" s="181"/>
      <c r="F23" s="182"/>
      <c r="G23" s="183"/>
      <c r="H23" s="181"/>
      <c r="I23" s="181"/>
      <c r="J23" s="181"/>
      <c r="K23" s="181"/>
      <c r="L23" s="181"/>
      <c r="M23" s="181"/>
      <c r="N23" s="184"/>
      <c r="O23" s="185"/>
      <c r="P23" s="182"/>
      <c r="Q23" s="186"/>
      <c r="R23" s="184"/>
      <c r="S23" s="262"/>
    </row>
    <row r="24" spans="1:19" ht="13.5" thickBot="1">
      <c r="A24" s="300"/>
      <c r="B24" s="261" t="s">
        <v>17</v>
      </c>
      <c r="C24" s="183"/>
      <c r="D24" s="187"/>
      <c r="E24" s="181"/>
      <c r="F24" s="182"/>
      <c r="G24" s="183"/>
      <c r="H24" s="181"/>
      <c r="I24" s="181"/>
      <c r="J24" s="181"/>
      <c r="K24" s="181"/>
      <c r="L24" s="181"/>
      <c r="M24" s="181"/>
      <c r="N24" s="184"/>
      <c r="O24" s="185"/>
      <c r="P24" s="182"/>
      <c r="Q24" s="186"/>
      <c r="R24" s="184"/>
      <c r="S24" s="262"/>
    </row>
    <row r="25" spans="1:19" ht="12.75">
      <c r="A25" s="300"/>
      <c r="B25" s="246" t="s">
        <v>90</v>
      </c>
      <c r="C25" s="202">
        <f>'Automated Spraying'!C17</f>
        <v>0</v>
      </c>
      <c r="D25" s="203">
        <f>'Automated Spraying-2'!C17</f>
        <v>0</v>
      </c>
      <c r="E25" s="181">
        <f>'Dipping-immersion'!C17</f>
        <v>0</v>
      </c>
      <c r="F25" s="182">
        <f>'Dipping-immersion-2'!C17</f>
        <v>0</v>
      </c>
      <c r="G25" s="183"/>
      <c r="H25" s="181"/>
      <c r="I25" s="181"/>
      <c r="J25" s="181"/>
      <c r="K25" s="181"/>
      <c r="L25" s="181"/>
      <c r="M25" s="181"/>
      <c r="N25" s="184"/>
      <c r="O25" s="185"/>
      <c r="P25" s="182"/>
      <c r="Q25" s="186"/>
      <c r="R25" s="184"/>
      <c r="S25" s="262"/>
    </row>
    <row r="26" spans="1:19" ht="13.5" thickBot="1">
      <c r="A26" s="300"/>
      <c r="B26" s="246"/>
      <c r="C26" s="183"/>
      <c r="D26" s="187"/>
      <c r="E26" s="181"/>
      <c r="F26" s="182"/>
      <c r="G26" s="183"/>
      <c r="H26" s="181"/>
      <c r="I26" s="181"/>
      <c r="J26" s="181"/>
      <c r="K26" s="181"/>
      <c r="L26" s="181"/>
      <c r="M26" s="181"/>
      <c r="N26" s="184"/>
      <c r="O26" s="185"/>
      <c r="P26" s="182"/>
      <c r="Q26" s="186"/>
      <c r="R26" s="184"/>
      <c r="S26" s="262"/>
    </row>
    <row r="27" spans="1:19" ht="13.5" thickBot="1">
      <c r="A27" s="300"/>
      <c r="B27" s="261" t="s">
        <v>19</v>
      </c>
      <c r="C27" s="183"/>
      <c r="D27" s="187"/>
      <c r="E27" s="181"/>
      <c r="F27" s="182"/>
      <c r="G27" s="183"/>
      <c r="H27" s="181"/>
      <c r="I27" s="181"/>
      <c r="J27" s="181"/>
      <c r="K27" s="181"/>
      <c r="L27" s="181"/>
      <c r="M27" s="181"/>
      <c r="N27" s="184"/>
      <c r="O27" s="185"/>
      <c r="P27" s="182"/>
      <c r="Q27" s="186"/>
      <c r="R27" s="184"/>
      <c r="S27" s="262"/>
    </row>
    <row r="28" spans="1:19" ht="12.75">
      <c r="A28" s="300"/>
      <c r="B28" s="246" t="s">
        <v>193</v>
      </c>
      <c r="C28" s="190">
        <f>'Automated Spraying'!C26</f>
        <v>0.0004345</v>
      </c>
      <c r="D28" s="191">
        <f>'Automated Spraying-2'!C26</f>
        <v>0.0004345</v>
      </c>
      <c r="E28" s="192">
        <f>'Dipping-immersion'!C26</f>
        <v>0.00385</v>
      </c>
      <c r="F28" s="193">
        <f>'Dipping-immersion-2'!C26</f>
        <v>0.00385</v>
      </c>
      <c r="G28" s="183"/>
      <c r="H28" s="181"/>
      <c r="I28" s="181"/>
      <c r="J28" s="181"/>
      <c r="K28" s="181"/>
      <c r="L28" s="181"/>
      <c r="M28" s="181"/>
      <c r="N28" s="184"/>
      <c r="O28" s="185"/>
      <c r="P28" s="182"/>
      <c r="Q28" s="186"/>
      <c r="R28" s="184"/>
      <c r="S28" s="262"/>
    </row>
    <row r="29" spans="1:19" ht="13.5" thickBot="1">
      <c r="A29" s="300"/>
      <c r="B29" s="246"/>
      <c r="C29" s="183"/>
      <c r="D29" s="187"/>
      <c r="E29" s="192"/>
      <c r="F29" s="193"/>
      <c r="G29" s="183"/>
      <c r="H29" s="181"/>
      <c r="I29" s="181"/>
      <c r="J29" s="181"/>
      <c r="K29" s="181"/>
      <c r="L29" s="181"/>
      <c r="M29" s="181"/>
      <c r="N29" s="184"/>
      <c r="O29" s="185"/>
      <c r="P29" s="182"/>
      <c r="Q29" s="186"/>
      <c r="R29" s="184"/>
      <c r="S29" s="262"/>
    </row>
    <row r="30" spans="1:19" ht="13.5" thickBot="1">
      <c r="A30" s="300"/>
      <c r="B30" s="264" t="s">
        <v>68</v>
      </c>
      <c r="C30" s="183"/>
      <c r="D30" s="187"/>
      <c r="E30" s="192"/>
      <c r="F30" s="193"/>
      <c r="G30" s="183"/>
      <c r="H30" s="181"/>
      <c r="I30" s="181"/>
      <c r="J30" s="181"/>
      <c r="K30" s="181"/>
      <c r="L30" s="181"/>
      <c r="M30" s="181"/>
      <c r="N30" s="184"/>
      <c r="O30" s="194"/>
      <c r="P30" s="181"/>
      <c r="Q30" s="183"/>
      <c r="R30" s="184"/>
      <c r="S30" s="262"/>
    </row>
    <row r="31" spans="1:19" ht="12.75">
      <c r="A31" s="300"/>
      <c r="B31" s="246" t="s">
        <v>29</v>
      </c>
      <c r="C31" s="183"/>
      <c r="D31" s="187"/>
      <c r="E31" s="192"/>
      <c r="F31" s="193"/>
      <c r="G31" s="183"/>
      <c r="H31" s="181"/>
      <c r="I31" s="181"/>
      <c r="J31" s="181"/>
      <c r="K31" s="181"/>
      <c r="L31" s="181"/>
      <c r="M31" s="181"/>
      <c r="N31" s="184"/>
      <c r="O31" s="194">
        <f>'Brushing house outdoor-applic.'!C11</f>
        <v>0.0625</v>
      </c>
      <c r="P31" s="193">
        <f>'Brushing house outdoor-applic.'!C12</f>
        <v>0.0375</v>
      </c>
      <c r="Q31" s="195"/>
      <c r="R31" s="184"/>
      <c r="S31" s="262"/>
    </row>
    <row r="32" spans="1:19" ht="12.75">
      <c r="A32" s="300"/>
      <c r="B32" s="246"/>
      <c r="C32" s="183"/>
      <c r="D32" s="187"/>
      <c r="E32" s="192"/>
      <c r="F32" s="193"/>
      <c r="G32" s="183"/>
      <c r="H32" s="181"/>
      <c r="I32" s="181"/>
      <c r="J32" s="181"/>
      <c r="K32" s="181"/>
      <c r="L32" s="181"/>
      <c r="M32" s="181"/>
      <c r="N32" s="184"/>
      <c r="O32" s="196" t="s">
        <v>79</v>
      </c>
      <c r="P32" s="189" t="s">
        <v>80</v>
      </c>
      <c r="Q32" s="197"/>
      <c r="R32" s="184"/>
      <c r="S32" s="262"/>
    </row>
    <row r="33" spans="1:19" ht="12.75">
      <c r="A33" s="300"/>
      <c r="B33" s="246"/>
      <c r="C33" s="183"/>
      <c r="D33" s="187"/>
      <c r="E33" s="192"/>
      <c r="F33" s="193"/>
      <c r="G33" s="183"/>
      <c r="H33" s="181"/>
      <c r="I33" s="181"/>
      <c r="J33" s="181"/>
      <c r="K33" s="181"/>
      <c r="L33" s="181"/>
      <c r="M33" s="181"/>
      <c r="N33" s="184"/>
      <c r="O33" s="198"/>
      <c r="P33" s="199"/>
      <c r="Q33" s="200"/>
      <c r="R33" s="184"/>
      <c r="S33" s="262"/>
    </row>
    <row r="34" spans="1:19" ht="13.5" thickBot="1">
      <c r="A34" s="300"/>
      <c r="B34" s="185"/>
      <c r="C34" s="183"/>
      <c r="D34" s="187"/>
      <c r="E34" s="181"/>
      <c r="F34" s="182"/>
      <c r="G34" s="183"/>
      <c r="H34" s="181"/>
      <c r="I34" s="181"/>
      <c r="J34" s="181"/>
      <c r="K34" s="181"/>
      <c r="L34" s="181"/>
      <c r="M34" s="181"/>
      <c r="N34" s="184"/>
      <c r="O34" s="201"/>
      <c r="P34" s="188"/>
      <c r="Q34" s="197"/>
      <c r="R34" s="184"/>
      <c r="S34" s="262"/>
    </row>
    <row r="35" spans="1:19" ht="13.5" thickBot="1">
      <c r="A35" s="300"/>
      <c r="B35" s="261" t="s">
        <v>38</v>
      </c>
      <c r="C35" s="183"/>
      <c r="D35" s="187"/>
      <c r="E35" s="181"/>
      <c r="F35" s="182"/>
      <c r="G35" s="183"/>
      <c r="H35" s="181"/>
      <c r="I35" s="181"/>
      <c r="J35" s="181"/>
      <c r="K35" s="181"/>
      <c r="L35" s="181"/>
      <c r="M35" s="181"/>
      <c r="N35" s="184"/>
      <c r="O35" s="185"/>
      <c r="P35" s="182"/>
      <c r="Q35" s="186"/>
      <c r="R35" s="184"/>
      <c r="S35" s="262"/>
    </row>
    <row r="36" spans="1:19" ht="12.75">
      <c r="A36" s="300"/>
      <c r="B36" s="246" t="s">
        <v>199</v>
      </c>
      <c r="C36" s="202">
        <f>'Automated Spraying'!C20</f>
        <v>0.02607</v>
      </c>
      <c r="D36" s="203">
        <f>'Automated Spraying-2'!C20</f>
        <v>3.17185</v>
      </c>
      <c r="E36" s="192">
        <f>'Dipping-immersion'!C20</f>
        <v>0.231</v>
      </c>
      <c r="F36" s="193">
        <f>'Dipping-immersion-2'!C20</f>
        <v>14.0525</v>
      </c>
      <c r="G36" s="202">
        <f>House!C11</f>
        <v>0.000125</v>
      </c>
      <c r="H36" s="192">
        <f>'House-2'!C11</f>
        <v>0.000125</v>
      </c>
      <c r="I36" s="204">
        <f>'Fence post'!C11</f>
        <v>8.000000000000001E-07</v>
      </c>
      <c r="J36" s="204">
        <f>'Fence post-2'!C11</f>
        <v>8.000000000000001E-07</v>
      </c>
      <c r="K36" s="205">
        <f>'Transmission pole'!C11</f>
        <v>7.1E-06</v>
      </c>
      <c r="L36" s="205">
        <f>'Transmission pole-2'!C11</f>
        <v>7.1E-06</v>
      </c>
      <c r="M36" s="192">
        <f>'Jetty in lake'!C11</f>
        <v>2.62E-05</v>
      </c>
      <c r="N36" s="206">
        <f>'Jetty in lake-2'!C11</f>
        <v>2.62E-05</v>
      </c>
      <c r="O36" s="207"/>
      <c r="P36" s="208"/>
      <c r="Q36" s="209">
        <f>Wharf!C11</f>
        <v>2.0116666666666667E-05</v>
      </c>
      <c r="R36" s="210">
        <f>'Wharf-2'!C11</f>
        <v>8.267123287671233E-08</v>
      </c>
      <c r="S36" s="265"/>
    </row>
    <row r="37" spans="1:19" ht="13.5" thickBot="1">
      <c r="A37" s="300"/>
      <c r="B37" s="246"/>
      <c r="C37" s="183"/>
      <c r="D37" s="187"/>
      <c r="E37" s="181"/>
      <c r="F37" s="182"/>
      <c r="G37" s="202"/>
      <c r="H37" s="192"/>
      <c r="I37" s="211"/>
      <c r="J37" s="211"/>
      <c r="K37" s="211"/>
      <c r="L37" s="211"/>
      <c r="M37" s="211"/>
      <c r="N37" s="212"/>
      <c r="O37" s="207"/>
      <c r="P37" s="208"/>
      <c r="Q37" s="186"/>
      <c r="R37" s="184"/>
      <c r="S37" s="262"/>
    </row>
    <row r="38" spans="1:19" ht="13.5" thickBot="1">
      <c r="A38" s="300"/>
      <c r="B38" s="261" t="s">
        <v>18</v>
      </c>
      <c r="C38" s="183"/>
      <c r="D38" s="187"/>
      <c r="E38" s="181"/>
      <c r="F38" s="182"/>
      <c r="G38" s="183"/>
      <c r="H38" s="181"/>
      <c r="I38" s="181"/>
      <c r="J38" s="181"/>
      <c r="K38" s="181"/>
      <c r="L38" s="181"/>
      <c r="M38" s="181"/>
      <c r="N38" s="184"/>
      <c r="O38" s="185"/>
      <c r="P38" s="182"/>
      <c r="Q38" s="186"/>
      <c r="R38" s="184"/>
      <c r="S38" s="262"/>
    </row>
    <row r="39" spans="1:19" ht="12.75">
      <c r="A39" s="300"/>
      <c r="B39" s="263" t="s">
        <v>194</v>
      </c>
      <c r="C39" s="202">
        <f>'Automated Spraying'!C23</f>
        <v>0.9705882352941176</v>
      </c>
      <c r="D39" s="203">
        <f>'Automated Spraying-2'!C23</f>
        <v>118.08823529411765</v>
      </c>
      <c r="E39" s="158">
        <f>'Dipping-immersion'!C23</f>
        <v>0.9705882352941176</v>
      </c>
      <c r="F39" s="213">
        <f>'Dipping-immersion-2'!C23</f>
        <v>59.044117647058826</v>
      </c>
      <c r="G39" s="155">
        <f>House!C14</f>
        <v>0.5870611717740933</v>
      </c>
      <c r="H39" s="156">
        <f>'House-2'!C14</f>
        <v>0.5870611717740933</v>
      </c>
      <c r="I39" s="156">
        <f>'Fence post'!C14</f>
        <v>0.055363321799307974</v>
      </c>
      <c r="J39" s="156">
        <f>'Fence post-2'!C14</f>
        <v>0.055363321799307974</v>
      </c>
      <c r="K39" s="156">
        <f>'Transmission pole'!C14</f>
        <v>0.08308824234944534</v>
      </c>
      <c r="L39" s="156">
        <f>'Transmission pole-2'!C14</f>
        <v>0.08308824234944534</v>
      </c>
      <c r="M39" s="181"/>
      <c r="N39" s="184"/>
      <c r="O39" s="198">
        <f>'Brushing house outdoor-applic.'!C15</f>
        <v>293.53058588704664</v>
      </c>
      <c r="P39" s="199">
        <f>'Brushing house outdoor-applic.'!C16</f>
        <v>176.118351532228</v>
      </c>
      <c r="Q39" s="186"/>
      <c r="R39" s="184"/>
      <c r="S39" s="262"/>
    </row>
    <row r="40" spans="1:19" ht="12.75">
      <c r="A40" s="300"/>
      <c r="B40" s="282" t="s">
        <v>190</v>
      </c>
      <c r="C40" s="202"/>
      <c r="D40" s="203"/>
      <c r="E40" s="192"/>
      <c r="F40" s="193"/>
      <c r="G40" s="155">
        <f>House!C15</f>
        <v>0.14589169000933616</v>
      </c>
      <c r="H40" s="156">
        <f>'House-2'!C15</f>
        <v>0.14589169000933616</v>
      </c>
      <c r="I40" s="158">
        <f>'Fence post'!C15</f>
        <v>0.009603841536614643</v>
      </c>
      <c r="J40" s="158">
        <f>'Fence post-2'!C15</f>
        <v>0.009603841536614643</v>
      </c>
      <c r="K40" s="156">
        <f>'Transmission pole'!C15</f>
        <v>0.01771073275725063</v>
      </c>
      <c r="L40" s="156">
        <f>'Transmission pole-2'!C15</f>
        <v>0.01771073275725063</v>
      </c>
      <c r="M40" s="181"/>
      <c r="N40" s="184"/>
      <c r="O40" s="198">
        <f>'Brushing house outdoor-applic.'!C17</f>
        <v>72.94584500466809</v>
      </c>
      <c r="P40" s="199">
        <f>'Brushing house outdoor-applic.'!C18</f>
        <v>43.76750700280085</v>
      </c>
      <c r="Q40" s="186"/>
      <c r="R40" s="184"/>
      <c r="S40" s="262"/>
    </row>
    <row r="41" spans="1:19" ht="12.75">
      <c r="A41" s="300"/>
      <c r="B41" s="282" t="s">
        <v>189</v>
      </c>
      <c r="C41" s="202"/>
      <c r="D41" s="203"/>
      <c r="E41" s="192"/>
      <c r="F41" s="193"/>
      <c r="G41" s="157">
        <f>House!C16</f>
        <v>0.028280542986425326</v>
      </c>
      <c r="H41" s="158">
        <f>'House-2'!C16</f>
        <v>0.028280542986425326</v>
      </c>
      <c r="I41" s="158">
        <f>'Fence post'!C16</f>
        <v>0.0006526882597699274</v>
      </c>
      <c r="J41" s="158">
        <f>'Fence post-2'!C16</f>
        <v>0.0006526882597699274</v>
      </c>
      <c r="K41" s="158">
        <f>'Transmission pole'!C16</f>
        <v>0.001684799211204595</v>
      </c>
      <c r="L41" s="158">
        <f>'Transmission pole-2'!C16</f>
        <v>0.001684799211204595</v>
      </c>
      <c r="M41" s="181"/>
      <c r="N41" s="184"/>
      <c r="O41" s="198">
        <f>'Brushing house outdoor-applic.'!C19</f>
        <v>14.140271493212662</v>
      </c>
      <c r="P41" s="199">
        <f>'Brushing house outdoor-applic.'!C20</f>
        <v>8.484162895927597</v>
      </c>
      <c r="Q41" s="186"/>
      <c r="R41" s="184"/>
      <c r="S41" s="262"/>
    </row>
    <row r="42" spans="1:19" ht="13.5" thickBot="1">
      <c r="A42" s="300"/>
      <c r="B42" s="246"/>
      <c r="C42" s="183"/>
      <c r="D42" s="187"/>
      <c r="E42" s="181"/>
      <c r="F42" s="182"/>
      <c r="G42" s="214" t="s">
        <v>63</v>
      </c>
      <c r="H42" s="188" t="s">
        <v>63</v>
      </c>
      <c r="I42" s="188" t="s">
        <v>63</v>
      </c>
      <c r="J42" s="188" t="s">
        <v>63</v>
      </c>
      <c r="K42" s="188" t="s">
        <v>63</v>
      </c>
      <c r="L42" s="188" t="s">
        <v>63</v>
      </c>
      <c r="M42" s="181"/>
      <c r="N42" s="184"/>
      <c r="O42" s="201" t="s">
        <v>70</v>
      </c>
      <c r="P42" s="188" t="s">
        <v>71</v>
      </c>
      <c r="Q42" s="186"/>
      <c r="R42" s="184"/>
      <c r="S42" s="262"/>
    </row>
    <row r="43" spans="1:19" ht="13.5" thickBot="1">
      <c r="A43" s="300"/>
      <c r="B43" s="261" t="s">
        <v>33</v>
      </c>
      <c r="C43" s="183"/>
      <c r="D43" s="187"/>
      <c r="E43" s="181"/>
      <c r="F43" s="182"/>
      <c r="G43" s="183"/>
      <c r="H43" s="181"/>
      <c r="I43" s="181"/>
      <c r="J43" s="181"/>
      <c r="K43" s="181"/>
      <c r="L43" s="181"/>
      <c r="M43" s="181"/>
      <c r="N43" s="184"/>
      <c r="O43" s="185"/>
      <c r="P43" s="182"/>
      <c r="Q43" s="186"/>
      <c r="R43" s="184"/>
      <c r="S43" s="262"/>
    </row>
    <row r="44" spans="1:19" ht="12.75">
      <c r="A44" s="300"/>
      <c r="B44" s="246" t="s">
        <v>198</v>
      </c>
      <c r="C44" s="183"/>
      <c r="D44" s="187"/>
      <c r="E44" s="181"/>
      <c r="F44" s="182"/>
      <c r="G44" s="183"/>
      <c r="H44" s="181"/>
      <c r="I44" s="181"/>
      <c r="J44" s="181"/>
      <c r="K44" s="181"/>
      <c r="L44" s="181"/>
      <c r="M44" s="158">
        <f>'Jetty in lake'!C14</f>
        <v>0.0016374999999999998</v>
      </c>
      <c r="N44" s="215">
        <f>'Jetty in lake-2'!C14</f>
        <v>0.0016374999999999998</v>
      </c>
      <c r="O44" s="194"/>
      <c r="P44" s="193"/>
      <c r="Q44" s="195">
        <f>Wharf!C14</f>
        <v>0.00033527777777777777</v>
      </c>
      <c r="R44" s="206">
        <f>'Wharf-2'!C14</f>
        <v>5.6624132107337205E-09</v>
      </c>
      <c r="S44" s="266"/>
    </row>
    <row r="45" spans="1:19" ht="13.5" thickBot="1">
      <c r="A45" s="300"/>
      <c r="B45" s="246"/>
      <c r="C45" s="183"/>
      <c r="D45" s="187"/>
      <c r="E45" s="181"/>
      <c r="F45" s="182"/>
      <c r="G45" s="183"/>
      <c r="H45" s="181"/>
      <c r="I45" s="181"/>
      <c r="J45" s="181"/>
      <c r="K45" s="181"/>
      <c r="L45" s="181"/>
      <c r="M45" s="158"/>
      <c r="N45" s="215"/>
      <c r="O45" s="194"/>
      <c r="P45" s="193"/>
      <c r="Q45" s="216"/>
      <c r="R45" s="215"/>
      <c r="S45" s="267"/>
    </row>
    <row r="46" spans="1:19" ht="13.5" thickBot="1">
      <c r="A46" s="300"/>
      <c r="B46" s="264" t="s">
        <v>32</v>
      </c>
      <c r="C46" s="183"/>
      <c r="D46" s="187"/>
      <c r="E46" s="181"/>
      <c r="F46" s="182"/>
      <c r="G46" s="183"/>
      <c r="H46" s="181"/>
      <c r="I46" s="181"/>
      <c r="J46" s="181"/>
      <c r="K46" s="181"/>
      <c r="L46" s="181"/>
      <c r="M46" s="181"/>
      <c r="N46" s="184"/>
      <c r="O46" s="185"/>
      <c r="P46" s="182"/>
      <c r="Q46" s="195"/>
      <c r="R46" s="206"/>
      <c r="S46" s="266"/>
    </row>
    <row r="47" spans="1:19" ht="12.75">
      <c r="A47" s="300"/>
      <c r="B47" s="246" t="s">
        <v>195</v>
      </c>
      <c r="C47" s="183"/>
      <c r="D47" s="187"/>
      <c r="E47" s="181"/>
      <c r="F47" s="182"/>
      <c r="G47" s="183"/>
      <c r="H47" s="181"/>
      <c r="I47" s="181"/>
      <c r="J47" s="181"/>
      <c r="K47" s="181"/>
      <c r="L47" s="181"/>
      <c r="M47" s="156">
        <f>'Jetty in lake'!C17</f>
        <v>0.8733333333333333</v>
      </c>
      <c r="N47" s="217">
        <f>'Jetty in lake-2'!C17</f>
        <v>0.007178082191780822</v>
      </c>
      <c r="O47" s="185"/>
      <c r="P47" s="182"/>
      <c r="Q47" s="195">
        <f>Wharf!C17</f>
        <v>4.023333333333333E-05</v>
      </c>
      <c r="R47" s="210">
        <f>'Wharf-2'!C17</f>
        <v>1.6534246575342465E-07</v>
      </c>
      <c r="S47" s="266"/>
    </row>
    <row r="48" spans="1:19" ht="13.5" thickBot="1">
      <c r="A48" s="300"/>
      <c r="B48" s="268"/>
      <c r="C48" s="183"/>
      <c r="D48" s="187"/>
      <c r="E48" s="181"/>
      <c r="F48" s="182"/>
      <c r="G48" s="183"/>
      <c r="H48" s="181"/>
      <c r="I48" s="181"/>
      <c r="J48" s="181"/>
      <c r="K48" s="181"/>
      <c r="L48" s="181"/>
      <c r="M48" s="156"/>
      <c r="N48" s="217"/>
      <c r="O48" s="185"/>
      <c r="P48" s="182"/>
      <c r="Q48" s="195"/>
      <c r="R48" s="206"/>
      <c r="S48" s="266"/>
    </row>
    <row r="49" spans="1:19" ht="13.5" thickBot="1">
      <c r="A49" s="300"/>
      <c r="B49" s="261" t="s">
        <v>34</v>
      </c>
      <c r="C49" s="183"/>
      <c r="D49" s="187"/>
      <c r="E49" s="181"/>
      <c r="F49" s="182"/>
      <c r="G49" s="183"/>
      <c r="H49" s="181"/>
      <c r="I49" s="181"/>
      <c r="J49" s="181"/>
      <c r="K49" s="181"/>
      <c r="L49" s="181"/>
      <c r="M49" s="192"/>
      <c r="N49" s="206"/>
      <c r="O49" s="194"/>
      <c r="P49" s="193"/>
      <c r="Q49" s="195"/>
      <c r="R49" s="206"/>
      <c r="S49" s="266"/>
    </row>
    <row r="50" spans="1:19" ht="12.75">
      <c r="A50" s="300"/>
      <c r="B50" s="246" t="s">
        <v>198</v>
      </c>
      <c r="C50" s="183"/>
      <c r="D50" s="187"/>
      <c r="E50" s="181"/>
      <c r="F50" s="182"/>
      <c r="G50" s="183"/>
      <c r="H50" s="181"/>
      <c r="I50" s="181"/>
      <c r="J50" s="181"/>
      <c r="K50" s="181"/>
      <c r="L50" s="181"/>
      <c r="M50" s="158" t="e">
        <f>'Jetty in lake'!C22</f>
        <v>#DIV/0!</v>
      </c>
      <c r="N50" s="215" t="e">
        <f>'Jetty in lake-2'!C22</f>
        <v>#DIV/0!</v>
      </c>
      <c r="O50" s="194"/>
      <c r="P50" s="193"/>
      <c r="Q50" s="195" t="e">
        <f>Wharf!C22</f>
        <v>#DIV/0!</v>
      </c>
      <c r="R50" s="206" t="e">
        <f>'Wharf-2'!C22</f>
        <v>#DIV/0!</v>
      </c>
      <c r="S50" s="266"/>
    </row>
    <row r="51" spans="1:19" ht="13.5" thickBot="1">
      <c r="A51" s="301"/>
      <c r="B51" s="268"/>
      <c r="C51" s="218"/>
      <c r="D51" s="219"/>
      <c r="E51" s="220"/>
      <c r="F51" s="221"/>
      <c r="G51" s="218"/>
      <c r="H51" s="220"/>
      <c r="I51" s="220"/>
      <c r="J51" s="220"/>
      <c r="K51" s="220"/>
      <c r="L51" s="220"/>
      <c r="M51" s="222"/>
      <c r="N51" s="223"/>
      <c r="O51" s="224"/>
      <c r="P51" s="222"/>
      <c r="Q51" s="218"/>
      <c r="R51" s="225"/>
      <c r="S51" s="262"/>
    </row>
  </sheetData>
  <mergeCells count="4">
    <mergeCell ref="A12:A51"/>
    <mergeCell ref="O14:P14"/>
    <mergeCell ref="C12:R12"/>
    <mergeCell ref="C2:J2"/>
  </mergeCells>
  <printOptions/>
  <pageMargins left="0.3937007874015748" right="0.3937007874015748" top="1.1811023622047245" bottom="0.3937007874015748" header="0.5118110236220472" footer="0.5118110236220472"/>
  <pageSetup horizontalDpi="600" verticalDpi="600" orientation="landscape" paperSize="9" scale="60" r:id="rId4"/>
  <headerFooter alignWithMargins="0">
    <oddFooter>&amp;L&amp;12Date and time of printing: &amp;D at &amp;T</oddFooter>
  </headerFooter>
  <rowBreaks count="2" manualBreakCount="2">
    <brk id="53" max="19" man="1"/>
    <brk id="63" max="19" man="1"/>
  </rowBreaks>
  <drawing r:id="rId3"/>
  <legacyDrawing r:id="rId2"/>
</worksheet>
</file>

<file path=xl/worksheets/sheet3.xml><?xml version="1.0" encoding="utf-8"?>
<worksheet xmlns="http://schemas.openxmlformats.org/spreadsheetml/2006/main" xmlns:r="http://schemas.openxmlformats.org/officeDocument/2006/relationships">
  <dimension ref="A1:X61"/>
  <sheetViews>
    <sheetView zoomScale="120" zoomScaleNormal="120" zoomScaleSheetLayoutView="100" workbookViewId="0" topLeftCell="A1">
      <selection activeCell="A29" sqref="A29"/>
    </sheetView>
  </sheetViews>
  <sheetFormatPr defaultColWidth="8.796875" defaultRowHeight="14.25"/>
  <cols>
    <col min="1" max="1" width="4.59765625" style="46" customWidth="1"/>
    <col min="2" max="2" width="32.5" style="46" customWidth="1"/>
    <col min="3" max="3" width="9" style="46" bestFit="1" customWidth="1"/>
    <col min="4" max="4" width="2.3984375" style="46" customWidth="1"/>
    <col min="5" max="5" width="4.59765625" style="46" customWidth="1"/>
    <col min="6" max="6" width="31.8984375" style="46" bestFit="1" customWidth="1"/>
    <col min="7" max="7" width="6" style="46" customWidth="1"/>
    <col min="8" max="8" width="5" style="46" bestFit="1" customWidth="1"/>
    <col min="9" max="9" width="6.59765625" style="46" customWidth="1"/>
    <col min="10" max="16384" width="8.8984375" style="46" customWidth="1"/>
  </cols>
  <sheetData>
    <row r="1" spans="1:9" s="140" customFormat="1" ht="12.75">
      <c r="A1" s="142"/>
      <c r="B1" s="143" t="s">
        <v>121</v>
      </c>
      <c r="C1" s="144"/>
      <c r="D1" s="144"/>
      <c r="E1" s="144"/>
      <c r="F1" s="144"/>
      <c r="G1" s="144"/>
      <c r="H1" s="144"/>
      <c r="I1" s="145"/>
    </row>
    <row r="2" spans="1:9" s="140" customFormat="1" ht="12.75">
      <c r="A2" s="146"/>
      <c r="B2" s="135" t="s">
        <v>127</v>
      </c>
      <c r="C2" s="154" t="s">
        <v>128</v>
      </c>
      <c r="D2" s="138"/>
      <c r="E2" s="138"/>
      <c r="F2" s="138"/>
      <c r="G2" s="138"/>
      <c r="H2" s="138"/>
      <c r="I2" s="147"/>
    </row>
    <row r="3" spans="1:24" s="140" customFormat="1" ht="12.75">
      <c r="A3" s="146"/>
      <c r="B3" s="135" t="s">
        <v>122</v>
      </c>
      <c r="C3" s="137">
        <f>Summary!C5</f>
        <v>0</v>
      </c>
      <c r="D3" s="138"/>
      <c r="E3" s="138"/>
      <c r="F3" s="138"/>
      <c r="G3" s="138"/>
      <c r="H3" s="138"/>
      <c r="I3" s="147"/>
      <c r="J3" s="141"/>
      <c r="K3" s="141"/>
      <c r="L3" s="141"/>
      <c r="M3" s="141"/>
      <c r="N3" s="141"/>
      <c r="O3" s="141"/>
      <c r="P3" s="141"/>
      <c r="Q3" s="141"/>
      <c r="R3" s="141"/>
      <c r="S3" s="141"/>
      <c r="T3" s="141"/>
      <c r="U3" s="141"/>
      <c r="V3" s="141"/>
      <c r="W3" s="141"/>
      <c r="X3" s="141"/>
    </row>
    <row r="4" spans="1:24" s="140" customFormat="1" ht="12.75">
      <c r="A4" s="148"/>
      <c r="B4" s="136" t="s">
        <v>123</v>
      </c>
      <c r="C4" s="137">
        <f>Summary!C6</f>
        <v>0</v>
      </c>
      <c r="D4" s="139"/>
      <c r="E4" s="139"/>
      <c r="F4" s="139"/>
      <c r="G4" s="139"/>
      <c r="H4" s="139"/>
      <c r="I4" s="149"/>
      <c r="J4" s="141"/>
      <c r="K4" s="141"/>
      <c r="L4" s="141"/>
      <c r="M4" s="141"/>
      <c r="N4" s="141"/>
      <c r="O4" s="141"/>
      <c r="P4" s="141"/>
      <c r="Q4" s="141"/>
      <c r="R4" s="141"/>
      <c r="S4" s="141"/>
      <c r="T4" s="141"/>
      <c r="U4" s="141"/>
      <c r="V4" s="141"/>
      <c r="W4" s="141"/>
      <c r="X4" s="141"/>
    </row>
    <row r="5" spans="1:24" s="140" customFormat="1" ht="12.75">
      <c r="A5" s="148"/>
      <c r="B5" s="136" t="s">
        <v>125</v>
      </c>
      <c r="C5" s="137">
        <f>Summary!C7</f>
        <v>0</v>
      </c>
      <c r="D5" s="139"/>
      <c r="E5" s="139"/>
      <c r="F5" s="139"/>
      <c r="G5" s="139"/>
      <c r="H5" s="139"/>
      <c r="I5" s="149"/>
      <c r="J5" s="141"/>
      <c r="K5" s="141"/>
      <c r="L5" s="141"/>
      <c r="M5" s="141"/>
      <c r="N5" s="141"/>
      <c r="O5" s="141"/>
      <c r="P5" s="141"/>
      <c r="Q5" s="141"/>
      <c r="R5" s="141"/>
      <c r="S5" s="141"/>
      <c r="T5" s="141"/>
      <c r="U5" s="141"/>
      <c r="V5" s="141"/>
      <c r="W5" s="141"/>
      <c r="X5" s="141"/>
    </row>
    <row r="6" spans="1:24" s="67" customFormat="1" ht="7.5" thickBot="1">
      <c r="A6" s="11"/>
      <c r="B6" s="10"/>
      <c r="C6" s="10"/>
      <c r="D6" s="10"/>
      <c r="E6" s="10"/>
      <c r="F6" s="10"/>
      <c r="G6" s="10"/>
      <c r="H6" s="10"/>
      <c r="I6" s="19"/>
      <c r="J6" s="10"/>
      <c r="K6" s="10"/>
      <c r="L6" s="10"/>
      <c r="M6" s="10"/>
      <c r="N6" s="10"/>
      <c r="O6" s="10"/>
      <c r="P6" s="10"/>
      <c r="Q6" s="10"/>
      <c r="R6" s="10"/>
      <c r="S6" s="10"/>
      <c r="T6" s="10"/>
      <c r="U6" s="10"/>
      <c r="V6" s="10"/>
      <c r="W6" s="10"/>
      <c r="X6" s="10"/>
    </row>
    <row r="7" spans="1:24" ht="11.25" customHeight="1">
      <c r="A7" s="39" t="s">
        <v>97</v>
      </c>
      <c r="B7" s="12" t="s">
        <v>1</v>
      </c>
      <c r="C7" s="41"/>
      <c r="D7" s="35"/>
      <c r="E7" s="34"/>
      <c r="F7" s="313" t="s">
        <v>217</v>
      </c>
      <c r="G7" s="2"/>
      <c r="H7" s="27" t="s">
        <v>73</v>
      </c>
      <c r="I7" s="20"/>
      <c r="J7" s="8"/>
      <c r="K7" s="8"/>
      <c r="L7" s="8"/>
      <c r="M7" s="8"/>
      <c r="N7" s="8"/>
      <c r="O7" s="8"/>
      <c r="P7" s="8"/>
      <c r="Q7" s="8"/>
      <c r="R7" s="8"/>
      <c r="S7" s="8"/>
      <c r="T7" s="8"/>
      <c r="U7" s="8"/>
      <c r="V7" s="8"/>
      <c r="W7" s="8"/>
      <c r="X7" s="8"/>
    </row>
    <row r="8" spans="1:9" ht="12" customHeight="1" thickBot="1">
      <c r="A8" s="33" t="s">
        <v>98</v>
      </c>
      <c r="B8" s="13" t="s">
        <v>118</v>
      </c>
      <c r="C8" s="42"/>
      <c r="D8" s="35"/>
      <c r="E8" s="33"/>
      <c r="F8" s="83" t="s">
        <v>163</v>
      </c>
      <c r="G8" s="4"/>
      <c r="H8" s="28" t="s">
        <v>73</v>
      </c>
      <c r="I8" s="20"/>
    </row>
    <row r="9" spans="1:9" ht="11.25">
      <c r="A9" s="33" t="s">
        <v>99</v>
      </c>
      <c r="B9" s="14"/>
      <c r="C9" s="15"/>
      <c r="D9" s="8"/>
      <c r="E9" s="33"/>
      <c r="F9" s="83" t="s">
        <v>164</v>
      </c>
      <c r="G9" s="4"/>
      <c r="H9" s="28" t="s">
        <v>73</v>
      </c>
      <c r="I9" s="20"/>
    </row>
    <row r="10" spans="1:9" ht="11.25">
      <c r="A10" s="33" t="s">
        <v>94</v>
      </c>
      <c r="B10" s="18" t="s">
        <v>23</v>
      </c>
      <c r="C10" s="20"/>
      <c r="D10" s="8"/>
      <c r="E10" s="33" t="s">
        <v>97</v>
      </c>
      <c r="F10" s="77" t="s">
        <v>20</v>
      </c>
      <c r="G10" s="24">
        <f>PRODUCT(G7:G9,0.01)</f>
        <v>0.01</v>
      </c>
      <c r="H10" s="29" t="s">
        <v>74</v>
      </c>
      <c r="I10" s="20"/>
    </row>
    <row r="11" spans="1:9" ht="12" thickBot="1">
      <c r="A11" s="40" t="s">
        <v>96</v>
      </c>
      <c r="B11" s="16" t="s">
        <v>20</v>
      </c>
      <c r="C11" s="17">
        <f>G10</f>
        <v>0.01</v>
      </c>
      <c r="D11" s="8"/>
      <c r="E11" s="33"/>
      <c r="F11" s="77" t="s">
        <v>21</v>
      </c>
      <c r="G11" s="24">
        <v>2000</v>
      </c>
      <c r="H11" s="29" t="s">
        <v>0</v>
      </c>
      <c r="I11" s="20"/>
    </row>
    <row r="12" spans="1:9" ht="12" thickBot="1">
      <c r="A12" s="18"/>
      <c r="B12" s="8"/>
      <c r="C12" s="8"/>
      <c r="D12" s="8"/>
      <c r="E12" s="33" t="s">
        <v>98</v>
      </c>
      <c r="F12" s="77" t="s">
        <v>209</v>
      </c>
      <c r="G12" s="292">
        <f>IF(C7=0,0,IF(C7&lt;0.005,0.001,IF(C7&lt;0.05,0.01,IF(C7&lt;0.5,0.02,IF(C7&lt;1.25,0.075,IF(C7&lt;2.5,0.15,0.25))))))</f>
        <v>0</v>
      </c>
      <c r="H12" s="29" t="s">
        <v>74</v>
      </c>
      <c r="I12" s="20"/>
    </row>
    <row r="13" spans="1:9" ht="11.25">
      <c r="A13" s="52"/>
      <c r="B13" s="5" t="s">
        <v>16</v>
      </c>
      <c r="C13" s="31"/>
      <c r="D13" s="35"/>
      <c r="E13" s="33"/>
      <c r="F13" s="77" t="s">
        <v>22</v>
      </c>
      <c r="G13" s="24">
        <v>0.001</v>
      </c>
      <c r="H13" s="29" t="s">
        <v>0</v>
      </c>
      <c r="I13" s="20"/>
    </row>
    <row r="14" spans="1:9" ht="11.25">
      <c r="A14" s="48" t="s">
        <v>92</v>
      </c>
      <c r="B14" s="6" t="s">
        <v>89</v>
      </c>
      <c r="C14" s="32">
        <f>PRODUCT(G10,G11,SUM(G12,G13))</f>
        <v>0.02</v>
      </c>
      <c r="D14" s="36"/>
      <c r="E14" s="33" t="s">
        <v>99</v>
      </c>
      <c r="F14" s="77" t="s">
        <v>210</v>
      </c>
      <c r="G14" s="292">
        <f>IF(C8=0,0,IF(C8&lt;0.00025,0.0001,IF(C8&lt;0.001,0.0015,IF(C8&lt;0.05,0.003,IF(C8&lt;0.1,0.015,0.03)))))</f>
        <v>0</v>
      </c>
      <c r="H14" s="29" t="s">
        <v>74</v>
      </c>
      <c r="I14" s="20"/>
    </row>
    <row r="15" spans="1:9" ht="11.25">
      <c r="A15" s="48"/>
      <c r="B15" s="50"/>
      <c r="C15" s="55"/>
      <c r="D15" s="36"/>
      <c r="E15" s="33"/>
      <c r="F15" s="83" t="s">
        <v>165</v>
      </c>
      <c r="G15" s="4"/>
      <c r="H15" s="28" t="s">
        <v>73</v>
      </c>
      <c r="I15" s="20"/>
    </row>
    <row r="16" spans="1:9" ht="11.25">
      <c r="A16" s="48" t="s">
        <v>93</v>
      </c>
      <c r="B16" s="7" t="s">
        <v>17</v>
      </c>
      <c r="C16" s="32"/>
      <c r="D16" s="36"/>
      <c r="E16" s="33" t="s">
        <v>94</v>
      </c>
      <c r="F16" s="77" t="s">
        <v>91</v>
      </c>
      <c r="G16" s="24">
        <v>11</v>
      </c>
      <c r="H16" s="29" t="s">
        <v>0</v>
      </c>
      <c r="I16" s="20"/>
    </row>
    <row r="17" spans="1:9" ht="11.25">
      <c r="A17" s="48"/>
      <c r="B17" s="6" t="s">
        <v>90</v>
      </c>
      <c r="C17" s="32">
        <f>PRODUCT(G10,G11,G14)</f>
        <v>0</v>
      </c>
      <c r="D17" s="36"/>
      <c r="E17" s="33"/>
      <c r="F17" s="77" t="s">
        <v>3</v>
      </c>
      <c r="G17" s="24">
        <v>79</v>
      </c>
      <c r="H17" s="29" t="s">
        <v>0</v>
      </c>
      <c r="I17" s="20"/>
    </row>
    <row r="18" spans="1:9" ht="12" thickBot="1">
      <c r="A18" s="48" t="s">
        <v>73</v>
      </c>
      <c r="B18" s="7"/>
      <c r="C18" s="32"/>
      <c r="D18" s="36"/>
      <c r="E18" s="33" t="s">
        <v>96</v>
      </c>
      <c r="F18" s="77" t="s">
        <v>117</v>
      </c>
      <c r="G18" s="24">
        <v>30</v>
      </c>
      <c r="H18" s="29" t="s">
        <v>0</v>
      </c>
      <c r="I18" s="20"/>
    </row>
    <row r="19" spans="1:9" ht="11.25">
      <c r="A19" s="48"/>
      <c r="B19" s="88" t="s">
        <v>178</v>
      </c>
      <c r="C19" s="318"/>
      <c r="D19" s="36"/>
      <c r="E19" s="33"/>
      <c r="F19" s="77" t="s">
        <v>100</v>
      </c>
      <c r="G19" s="24">
        <v>0.5</v>
      </c>
      <c r="H19" s="29" t="s">
        <v>0</v>
      </c>
      <c r="I19" s="20"/>
    </row>
    <row r="20" spans="1:9" ht="11.25">
      <c r="A20" s="48" t="s">
        <v>94</v>
      </c>
      <c r="B20" s="89" t="s">
        <v>49</v>
      </c>
      <c r="C20" s="319">
        <f>PRODUCT(G15:G18)/1000000</f>
        <v>0.02607</v>
      </c>
      <c r="D20" s="37"/>
      <c r="E20" s="33"/>
      <c r="F20" s="77" t="s">
        <v>102</v>
      </c>
      <c r="G20" s="24">
        <f>1-G19</f>
        <v>0.5</v>
      </c>
      <c r="H20" s="29" t="s">
        <v>74</v>
      </c>
      <c r="I20" s="20"/>
    </row>
    <row r="21" spans="1:9" ht="12" thickBot="1">
      <c r="A21" s="48"/>
      <c r="B21" s="89" t="s">
        <v>245</v>
      </c>
      <c r="C21" s="319">
        <f>(C20/G18)</f>
        <v>0.000869</v>
      </c>
      <c r="D21" s="36"/>
      <c r="E21" s="33"/>
      <c r="F21" s="77" t="s">
        <v>6</v>
      </c>
      <c r="G21" s="24">
        <v>7.9</v>
      </c>
      <c r="H21" s="29" t="s">
        <v>0</v>
      </c>
      <c r="I21" s="20"/>
    </row>
    <row r="22" spans="1:9" ht="11.25">
      <c r="A22" s="48" t="s">
        <v>95</v>
      </c>
      <c r="B22" s="88" t="s">
        <v>179</v>
      </c>
      <c r="C22" s="318"/>
      <c r="D22" s="36"/>
      <c r="E22" s="107"/>
      <c r="F22" s="77" t="s">
        <v>7</v>
      </c>
      <c r="G22" s="24">
        <v>1700</v>
      </c>
      <c r="H22" s="29" t="s">
        <v>0</v>
      </c>
      <c r="I22" s="20"/>
    </row>
    <row r="23" spans="1:9" ht="12" customHeight="1" thickBot="1">
      <c r="A23" s="48"/>
      <c r="B23" s="286" t="s">
        <v>242</v>
      </c>
      <c r="C23" s="320">
        <f>PRODUCT(C20,G20,1000000)/G21/G22</f>
        <v>0.9705882352941176</v>
      </c>
      <c r="D23" s="37"/>
      <c r="E23" s="314"/>
      <c r="F23" s="315" t="s">
        <v>243</v>
      </c>
      <c r="G23" s="316"/>
      <c r="H23" s="317" t="s">
        <v>73</v>
      </c>
      <c r="I23" s="20"/>
    </row>
    <row r="24" spans="1:9" ht="12" thickBot="1">
      <c r="A24" s="48" t="s">
        <v>96</v>
      </c>
      <c r="B24" s="89" t="s">
        <v>197</v>
      </c>
      <c r="C24" s="319">
        <f>C21/(PRODUCT(G21:G22))+(1/PRODUCT(G18,G23))*(C23-(C21/PRODUCT(G21:G23))*(1-EXP(-PRODUCT(G18,G23))))</f>
        <v>0.032353003725490194</v>
      </c>
      <c r="D24" s="36"/>
      <c r="E24" s="8"/>
      <c r="F24" s="8"/>
      <c r="G24" s="8"/>
      <c r="H24" s="8"/>
      <c r="I24" s="20"/>
    </row>
    <row r="25" spans="1:9" ht="11.25">
      <c r="A25" s="48"/>
      <c r="B25" s="88" t="s">
        <v>180</v>
      </c>
      <c r="C25" s="318"/>
      <c r="D25" s="36"/>
      <c r="E25" s="8"/>
      <c r="F25" s="68"/>
      <c r="G25" s="8"/>
      <c r="H25" s="8"/>
      <c r="I25" s="20"/>
    </row>
    <row r="26" spans="1:9" ht="11.25">
      <c r="A26" s="48" t="s">
        <v>73</v>
      </c>
      <c r="B26" s="89" t="s">
        <v>116</v>
      </c>
      <c r="C26" s="319">
        <f>PRODUCT(C20,G19)/G18</f>
        <v>0.0004345</v>
      </c>
      <c r="D26" s="38"/>
      <c r="E26" s="8"/>
      <c r="F26" s="293"/>
      <c r="G26" s="8"/>
      <c r="H26" s="8"/>
      <c r="I26" s="20"/>
    </row>
    <row r="27" spans="1:9" ht="12" thickBot="1">
      <c r="A27" s="22"/>
      <c r="B27" s="269"/>
      <c r="C27" s="322"/>
      <c r="D27" s="35"/>
      <c r="E27" s="8"/>
      <c r="F27" s="293"/>
      <c r="G27" s="8"/>
      <c r="H27" s="8"/>
      <c r="I27" s="20"/>
    </row>
    <row r="28" spans="1:9" ht="12" thickBot="1">
      <c r="A28" s="22"/>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6.5" customHeight="1">
      <c r="A47" s="150"/>
      <c r="B47" s="150"/>
      <c r="C47" s="150"/>
      <c r="D47" s="150"/>
      <c r="E47" s="150"/>
      <c r="F47" s="163"/>
      <c r="G47" s="150"/>
      <c r="H47" s="150"/>
      <c r="I47" s="150"/>
    </row>
    <row r="48" spans="1:9" ht="12.75" customHeight="1">
      <c r="A48" s="150"/>
      <c r="B48" s="150"/>
      <c r="C48" s="150"/>
      <c r="D48" s="150"/>
      <c r="E48" s="150"/>
      <c r="F48" s="163"/>
      <c r="G48" s="150"/>
      <c r="H48" s="150"/>
      <c r="I48" s="150"/>
    </row>
    <row r="49" spans="1:9" ht="14.25" customHeight="1">
      <c r="A49" s="150"/>
      <c r="B49" s="150"/>
      <c r="C49" s="150"/>
      <c r="D49" s="150"/>
      <c r="E49" s="150"/>
      <c r="F49" s="163"/>
      <c r="G49" s="150"/>
      <c r="H49" s="150"/>
      <c r="I49" s="150"/>
    </row>
    <row r="50" spans="1:9" ht="12.75" customHeight="1">
      <c r="A50" s="150"/>
      <c r="B50" s="150"/>
      <c r="C50" s="150"/>
      <c r="D50" s="150"/>
      <c r="E50" s="150"/>
      <c r="F50" s="163"/>
      <c r="G50" s="150"/>
      <c r="H50" s="150"/>
      <c r="I50" s="150"/>
    </row>
    <row r="51" spans="1:9" ht="15.75" customHeight="1">
      <c r="A51" s="150"/>
      <c r="B51" s="150"/>
      <c r="C51" s="150"/>
      <c r="D51" s="150"/>
      <c r="E51" s="150"/>
      <c r="F51" s="163"/>
      <c r="G51" s="150"/>
      <c r="H51" s="153"/>
      <c r="I51" s="150"/>
    </row>
    <row r="52" spans="1:9" ht="14.25" customHeight="1">
      <c r="A52" s="150"/>
      <c r="B52" s="150"/>
      <c r="C52" s="150"/>
      <c r="D52" s="150"/>
      <c r="E52" s="150"/>
      <c r="F52" s="164"/>
      <c r="G52" s="150"/>
      <c r="H52" s="150"/>
      <c r="I52" s="150"/>
    </row>
    <row r="53" spans="1:9" ht="12.75" customHeight="1">
      <c r="A53" s="150"/>
      <c r="B53" s="150"/>
      <c r="C53" s="150"/>
      <c r="D53" s="150"/>
      <c r="E53" s="150"/>
      <c r="F53" s="163"/>
      <c r="G53" s="150"/>
      <c r="H53" s="150"/>
      <c r="I53" s="150"/>
    </row>
    <row r="54" spans="1:9" ht="12.75" customHeight="1">
      <c r="A54" s="150"/>
      <c r="B54" s="150"/>
      <c r="C54" s="150"/>
      <c r="D54" s="150"/>
      <c r="E54" s="150"/>
      <c r="F54" s="163"/>
      <c r="G54" s="150"/>
      <c r="H54" s="150"/>
      <c r="I54" s="150"/>
    </row>
    <row r="55" spans="1:9" ht="12" customHeight="1">
      <c r="A55" s="150"/>
      <c r="B55" s="150"/>
      <c r="C55" s="150"/>
      <c r="D55" s="150"/>
      <c r="E55" s="150"/>
      <c r="F55" s="163"/>
      <c r="G55" s="150"/>
      <c r="H55" s="150"/>
      <c r="I55" s="150"/>
    </row>
    <row r="56" spans="1:9" ht="11.25" customHeight="1">
      <c r="A56" s="150"/>
      <c r="B56" s="150"/>
      <c r="C56" s="150"/>
      <c r="D56" s="150"/>
      <c r="E56" s="150"/>
      <c r="F56" s="163"/>
      <c r="G56" s="150"/>
      <c r="H56" s="150"/>
      <c r="I56" s="150"/>
    </row>
    <row r="57" spans="1:9" ht="12.75" customHeight="1">
      <c r="A57" s="150"/>
      <c r="B57" s="150"/>
      <c r="C57" s="150"/>
      <c r="D57" s="150"/>
      <c r="E57" s="150"/>
      <c r="F57" s="163"/>
      <c r="G57" s="150"/>
      <c r="H57" s="150"/>
      <c r="I57" s="150"/>
    </row>
    <row r="58" spans="1:9" ht="12.75" customHeight="1">
      <c r="A58" s="150"/>
      <c r="B58" s="150"/>
      <c r="C58" s="150"/>
      <c r="D58" s="150"/>
      <c r="E58" s="150"/>
      <c r="F58" s="163"/>
      <c r="G58" s="150"/>
      <c r="H58" s="150"/>
      <c r="I58" s="150"/>
    </row>
    <row r="59" spans="1:9" ht="12.75" customHeight="1">
      <c r="A59" s="150"/>
      <c r="B59" s="150"/>
      <c r="C59" s="150"/>
      <c r="D59" s="150"/>
      <c r="E59" s="150"/>
      <c r="F59" s="150"/>
      <c r="G59" s="150"/>
      <c r="H59" s="150"/>
      <c r="I59" s="150"/>
    </row>
    <row r="60" spans="1:9" ht="11.25">
      <c r="A60" s="150"/>
      <c r="B60" s="150"/>
      <c r="C60" s="150"/>
      <c r="D60" s="150"/>
      <c r="E60" s="150"/>
      <c r="F60" s="150"/>
      <c r="G60" s="150"/>
      <c r="H60" s="150"/>
      <c r="I60" s="150"/>
    </row>
    <row r="61" spans="1:9" ht="11.25">
      <c r="A61" s="150"/>
      <c r="B61" s="150"/>
      <c r="C61" s="150"/>
      <c r="D61" s="150"/>
      <c r="E61" s="150"/>
      <c r="F61" s="150"/>
      <c r="G61" s="150"/>
      <c r="H61" s="150"/>
      <c r="I61" s="150"/>
    </row>
    <row r="62" s="150" customFormat="1" ht="11.25"/>
    <row r="63" s="150" customFormat="1" ht="11.25"/>
    <row r="64" s="150" customFormat="1" ht="11.25"/>
  </sheetData>
  <sheetProtection selectLockedCells="1"/>
  <dataValidations count="2">
    <dataValidation type="list" allowBlank="1" showInputMessage="1" showErrorMessage="1" sqref="F27">
      <formula1>$F$47:$F$51</formula1>
    </dataValidation>
    <dataValidation type="list" allowBlank="1" showInputMessage="1" showErrorMessage="1" sqref="F26">
      <formula1>$F$53:$F$58</formula1>
    </dataValidation>
  </dataValidations>
  <printOptions/>
  <pageMargins left="0.3937007874015748" right="0.3937007874015748" top="0.7874015748031497" bottom="0.1968503937007874"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4.xml><?xml version="1.0" encoding="utf-8"?>
<worksheet xmlns="http://schemas.openxmlformats.org/spreadsheetml/2006/main" xmlns:r="http://schemas.openxmlformats.org/officeDocument/2006/relationships">
  <dimension ref="A1:X76"/>
  <sheetViews>
    <sheetView zoomScale="120" zoomScaleNormal="120" zoomScaleSheetLayoutView="100" workbookViewId="0" topLeftCell="A1">
      <selection activeCell="A29" sqref="A29"/>
    </sheetView>
  </sheetViews>
  <sheetFormatPr defaultColWidth="8.796875" defaultRowHeight="14.25"/>
  <cols>
    <col min="1" max="1" width="4.59765625" style="46" customWidth="1"/>
    <col min="2" max="2" width="32.5" style="46" customWidth="1"/>
    <col min="3" max="3" width="9" style="46" bestFit="1" customWidth="1"/>
    <col min="4" max="4" width="2.3984375" style="46" customWidth="1"/>
    <col min="5" max="5" width="4.59765625" style="46" customWidth="1"/>
    <col min="6" max="6" width="31.8984375" style="46" bestFit="1" customWidth="1"/>
    <col min="7" max="7" width="6" style="46" customWidth="1"/>
    <col min="8" max="8" width="5" style="46" bestFit="1" customWidth="1"/>
    <col min="9" max="9" width="6.59765625" style="46" customWidth="1"/>
    <col min="10" max="16384" width="8.8984375" style="46" customWidth="1"/>
  </cols>
  <sheetData>
    <row r="1" spans="1:12" ht="12.75" customHeight="1">
      <c r="A1" s="142"/>
      <c r="B1" s="143" t="s">
        <v>121</v>
      </c>
      <c r="C1" s="144"/>
      <c r="D1" s="144"/>
      <c r="E1" s="144"/>
      <c r="F1" s="144"/>
      <c r="G1" s="144"/>
      <c r="H1" s="144"/>
      <c r="I1" s="145"/>
      <c r="J1" s="9"/>
      <c r="K1" s="9"/>
      <c r="L1" s="8"/>
    </row>
    <row r="2" spans="1:9" s="67" customFormat="1" ht="12.75" customHeight="1">
      <c r="A2" s="146"/>
      <c r="B2" s="135" t="s">
        <v>127</v>
      </c>
      <c r="C2" s="154" t="s">
        <v>133</v>
      </c>
      <c r="D2" s="138"/>
      <c r="E2" s="138"/>
      <c r="F2" s="138"/>
      <c r="G2" s="138"/>
      <c r="H2" s="138"/>
      <c r="I2" s="147"/>
    </row>
    <row r="3" spans="1:9" s="67" customFormat="1" ht="12.75" customHeight="1">
      <c r="A3" s="146"/>
      <c r="B3" s="135" t="s">
        <v>122</v>
      </c>
      <c r="C3" s="137">
        <f>Summary!C5</f>
        <v>0</v>
      </c>
      <c r="D3" s="138"/>
      <c r="E3" s="138"/>
      <c r="F3" s="138"/>
      <c r="G3" s="138"/>
      <c r="H3" s="138"/>
      <c r="I3" s="147"/>
    </row>
    <row r="4" spans="1:9" ht="12.75" customHeight="1">
      <c r="A4" s="148"/>
      <c r="B4" s="136" t="s">
        <v>123</v>
      </c>
      <c r="C4" s="137">
        <f>Summary!C6</f>
        <v>0</v>
      </c>
      <c r="D4" s="139"/>
      <c r="E4" s="139"/>
      <c r="F4" s="139"/>
      <c r="G4" s="139"/>
      <c r="H4" s="139"/>
      <c r="I4" s="149"/>
    </row>
    <row r="5" spans="1:9" ht="12.75" customHeight="1">
      <c r="A5" s="148"/>
      <c r="B5" s="136" t="s">
        <v>125</v>
      </c>
      <c r="C5" s="137">
        <f>Summary!C7</f>
        <v>0</v>
      </c>
      <c r="D5" s="139"/>
      <c r="E5" s="139"/>
      <c r="F5" s="139"/>
      <c r="G5" s="139"/>
      <c r="H5" s="139"/>
      <c r="I5" s="149"/>
    </row>
    <row r="6" spans="1:24" s="67" customFormat="1" ht="7.5" thickBot="1">
      <c r="A6" s="11"/>
      <c r="B6" s="10"/>
      <c r="C6" s="10"/>
      <c r="D6" s="10"/>
      <c r="E6" s="10"/>
      <c r="F6" s="10"/>
      <c r="G6" s="10"/>
      <c r="H6" s="10"/>
      <c r="I6" s="19"/>
      <c r="J6" s="10"/>
      <c r="K6" s="10"/>
      <c r="L6" s="10"/>
      <c r="M6" s="10"/>
      <c r="N6" s="10"/>
      <c r="O6" s="10"/>
      <c r="P6" s="10"/>
      <c r="Q6" s="10"/>
      <c r="R6" s="10"/>
      <c r="S6" s="10"/>
      <c r="T6" s="10"/>
      <c r="U6" s="10"/>
      <c r="V6" s="10"/>
      <c r="W6" s="10"/>
      <c r="X6" s="10"/>
    </row>
    <row r="7" spans="1:24" ht="11.25" customHeight="1">
      <c r="A7" s="39" t="s">
        <v>97</v>
      </c>
      <c r="B7" s="12" t="s">
        <v>181</v>
      </c>
      <c r="C7" s="41"/>
      <c r="D7" s="35"/>
      <c r="E7" s="34"/>
      <c r="F7" s="1" t="s">
        <v>217</v>
      </c>
      <c r="G7" s="2"/>
      <c r="H7" s="27" t="s">
        <v>73</v>
      </c>
      <c r="I7" s="20"/>
      <c r="J7" s="8"/>
      <c r="K7" s="8"/>
      <c r="L7" s="8"/>
      <c r="M7" s="8"/>
      <c r="N7" s="8"/>
      <c r="O7" s="8"/>
      <c r="P7" s="8"/>
      <c r="Q7" s="8"/>
      <c r="R7" s="8"/>
      <c r="S7" s="8"/>
      <c r="T7" s="8"/>
      <c r="U7" s="8"/>
      <c r="V7" s="8"/>
      <c r="W7" s="8"/>
      <c r="X7" s="8"/>
    </row>
    <row r="8" spans="1:9" ht="12" customHeight="1" thickBot="1">
      <c r="A8" s="33" t="s">
        <v>98</v>
      </c>
      <c r="B8" s="13" t="s">
        <v>118</v>
      </c>
      <c r="C8" s="42"/>
      <c r="D8" s="35"/>
      <c r="E8" s="33"/>
      <c r="F8" s="3" t="s">
        <v>166</v>
      </c>
      <c r="G8" s="4"/>
      <c r="H8" s="28" t="s">
        <v>73</v>
      </c>
      <c r="I8" s="20"/>
    </row>
    <row r="9" spans="1:9" ht="11.25">
      <c r="A9" s="33" t="s">
        <v>99</v>
      </c>
      <c r="B9" s="18"/>
      <c r="C9" s="20"/>
      <c r="D9" s="8"/>
      <c r="E9" s="33"/>
      <c r="F9" s="3" t="s">
        <v>167</v>
      </c>
      <c r="G9" s="4"/>
      <c r="H9" s="28" t="s">
        <v>73</v>
      </c>
      <c r="I9" s="20"/>
    </row>
    <row r="10" spans="1:9" ht="11.25">
      <c r="A10" s="33" t="s">
        <v>94</v>
      </c>
      <c r="B10" s="18" t="s">
        <v>23</v>
      </c>
      <c r="C10" s="20"/>
      <c r="D10" s="8"/>
      <c r="E10" s="33" t="s">
        <v>97</v>
      </c>
      <c r="F10" s="23" t="s">
        <v>20</v>
      </c>
      <c r="G10" s="24">
        <f>PRODUCT(G7:G9,0.01)</f>
        <v>0.01</v>
      </c>
      <c r="H10" s="29" t="s">
        <v>74</v>
      </c>
      <c r="I10" s="20"/>
    </row>
    <row r="11" spans="1:9" ht="12" thickBot="1">
      <c r="A11" s="40" t="s">
        <v>96</v>
      </c>
      <c r="B11" s="16" t="s">
        <v>20</v>
      </c>
      <c r="C11" s="17">
        <f>G10</f>
        <v>0.01</v>
      </c>
      <c r="D11" s="8"/>
      <c r="E11" s="33"/>
      <c r="F11" s="23" t="s">
        <v>21</v>
      </c>
      <c r="G11" s="24">
        <v>2000</v>
      </c>
      <c r="H11" s="29" t="s">
        <v>0</v>
      </c>
      <c r="I11" s="20"/>
    </row>
    <row r="12" spans="1:9" ht="12" thickBot="1">
      <c r="A12" s="18"/>
      <c r="B12" s="8"/>
      <c r="C12" s="8"/>
      <c r="D12" s="8"/>
      <c r="E12" s="33" t="s">
        <v>98</v>
      </c>
      <c r="F12" s="23" t="s">
        <v>211</v>
      </c>
      <c r="G12" s="292">
        <f>IF(C7=0,0,IF(C7&lt;0.005,0.001,IF(C7&lt;0.05,0.01,IF(C7&lt;0.5,0.02,IF(C7&lt;1.25,0.075,IF(C7&lt;2.5,0.15,0.25))))))</f>
        <v>0</v>
      </c>
      <c r="H12" s="29" t="s">
        <v>74</v>
      </c>
      <c r="I12" s="20"/>
    </row>
    <row r="13" spans="1:9" ht="11.25">
      <c r="A13" s="52"/>
      <c r="B13" s="5" t="s">
        <v>16</v>
      </c>
      <c r="C13" s="43"/>
      <c r="D13" s="8"/>
      <c r="E13" s="33"/>
      <c r="F13" s="23" t="s">
        <v>22</v>
      </c>
      <c r="G13" s="24">
        <v>0.001</v>
      </c>
      <c r="H13" s="29" t="s">
        <v>0</v>
      </c>
      <c r="I13" s="20"/>
    </row>
    <row r="14" spans="1:9" ht="11.25">
      <c r="A14" s="48" t="s">
        <v>92</v>
      </c>
      <c r="B14" s="6" t="s">
        <v>89</v>
      </c>
      <c r="C14" s="49">
        <f>PRODUCT(G10,G11,SUM(G12,G13))</f>
        <v>0.02</v>
      </c>
      <c r="D14" s="8"/>
      <c r="E14" s="33" t="s">
        <v>99</v>
      </c>
      <c r="F14" s="23" t="s">
        <v>212</v>
      </c>
      <c r="G14" s="292">
        <f>IF(C8=0,0,IF(C8&lt;0.00025,0.0001,IF(C8&lt;0.001,0.0015,IF(C8&lt;0.05,0.003,IF(C8&lt;0.1,0.015,0.03)))))</f>
        <v>0</v>
      </c>
      <c r="H14" s="29" t="s">
        <v>74</v>
      </c>
      <c r="I14" s="20"/>
    </row>
    <row r="15" spans="1:9" ht="11.25">
      <c r="A15" s="48"/>
      <c r="B15" s="50"/>
      <c r="C15" s="51"/>
      <c r="D15" s="8"/>
      <c r="E15" s="33"/>
      <c r="F15" s="3" t="s">
        <v>165</v>
      </c>
      <c r="G15" s="4"/>
      <c r="H15" s="28" t="s">
        <v>73</v>
      </c>
      <c r="I15" s="20"/>
    </row>
    <row r="16" spans="1:9" ht="11.25">
      <c r="A16" s="48" t="s">
        <v>93</v>
      </c>
      <c r="B16" s="7" t="s">
        <v>17</v>
      </c>
      <c r="C16" s="49"/>
      <c r="D16" s="8"/>
      <c r="E16" s="33" t="s">
        <v>94</v>
      </c>
      <c r="F16" s="23" t="s">
        <v>91</v>
      </c>
      <c r="G16" s="24">
        <v>11</v>
      </c>
      <c r="H16" s="29" t="s">
        <v>0</v>
      </c>
      <c r="I16" s="20"/>
    </row>
    <row r="17" spans="1:9" ht="11.25">
      <c r="A17" s="48"/>
      <c r="B17" s="6" t="s">
        <v>90</v>
      </c>
      <c r="C17" s="49">
        <f>PRODUCT(G10,G11,G14)</f>
        <v>0</v>
      </c>
      <c r="D17" s="8"/>
      <c r="E17" s="33"/>
      <c r="F17" s="23" t="s">
        <v>3</v>
      </c>
      <c r="G17" s="24">
        <v>79</v>
      </c>
      <c r="H17" s="29" t="s">
        <v>0</v>
      </c>
      <c r="I17" s="20"/>
    </row>
    <row r="18" spans="1:9" ht="12" thickBot="1">
      <c r="A18" s="48" t="s">
        <v>73</v>
      </c>
      <c r="B18" s="53"/>
      <c r="C18" s="54"/>
      <c r="D18" s="8"/>
      <c r="E18" s="33" t="s">
        <v>96</v>
      </c>
      <c r="F18" s="23" t="s">
        <v>142</v>
      </c>
      <c r="G18" s="24">
        <v>3650</v>
      </c>
      <c r="H18" s="29" t="s">
        <v>0</v>
      </c>
      <c r="I18" s="20"/>
    </row>
    <row r="19" spans="1:9" ht="11.25">
      <c r="A19" s="33"/>
      <c r="B19" s="93" t="s">
        <v>24</v>
      </c>
      <c r="C19" s="323"/>
      <c r="D19" s="8"/>
      <c r="E19" s="33"/>
      <c r="F19" s="23" t="s">
        <v>5</v>
      </c>
      <c r="G19" s="24">
        <v>0.5</v>
      </c>
      <c r="H19" s="29" t="s">
        <v>0</v>
      </c>
      <c r="I19" s="20"/>
    </row>
    <row r="20" spans="1:9" ht="11.25">
      <c r="A20" s="33" t="s">
        <v>94</v>
      </c>
      <c r="B20" s="89" t="s">
        <v>140</v>
      </c>
      <c r="C20" s="323">
        <f>PRODUCT(G15:G18)/1000000</f>
        <v>3.17185</v>
      </c>
      <c r="D20" s="44"/>
      <c r="E20" s="33"/>
      <c r="F20" s="23" t="s">
        <v>8</v>
      </c>
      <c r="G20" s="24">
        <f>1-G19</f>
        <v>0.5</v>
      </c>
      <c r="H20" s="29" t="s">
        <v>74</v>
      </c>
      <c r="I20" s="20"/>
    </row>
    <row r="21" spans="1:9" ht="12" thickBot="1">
      <c r="A21" s="33"/>
      <c r="B21" s="89" t="s">
        <v>244</v>
      </c>
      <c r="C21" s="319">
        <f>(C20/G18)</f>
        <v>0.000869</v>
      </c>
      <c r="D21" s="8"/>
      <c r="E21" s="33"/>
      <c r="F21" s="23" t="s">
        <v>6</v>
      </c>
      <c r="G21" s="24">
        <v>7.9</v>
      </c>
      <c r="H21" s="29" t="s">
        <v>0</v>
      </c>
      <c r="I21" s="20"/>
    </row>
    <row r="22" spans="1:9" ht="11.25">
      <c r="A22" s="48" t="s">
        <v>95</v>
      </c>
      <c r="B22" s="88" t="s">
        <v>18</v>
      </c>
      <c r="C22" s="324"/>
      <c r="D22" s="8"/>
      <c r="E22" s="107"/>
      <c r="F22" s="77" t="s">
        <v>7</v>
      </c>
      <c r="G22" s="24">
        <v>1700</v>
      </c>
      <c r="H22" s="29" t="s">
        <v>0</v>
      </c>
      <c r="I22" s="20"/>
    </row>
    <row r="23" spans="1:9" ht="12" thickBot="1">
      <c r="A23" s="48"/>
      <c r="B23" s="286" t="s">
        <v>242</v>
      </c>
      <c r="C23" s="323">
        <f>PRODUCT(C20,G20,1000000)/G21/G22</f>
        <v>118.08823529411765</v>
      </c>
      <c r="D23" s="44"/>
      <c r="E23" s="314"/>
      <c r="F23" s="315" t="s">
        <v>243</v>
      </c>
      <c r="G23" s="316"/>
      <c r="H23" s="317" t="s">
        <v>73</v>
      </c>
      <c r="I23" s="20"/>
    </row>
    <row r="24" spans="1:9" ht="12" thickBot="1">
      <c r="A24" s="48" t="s">
        <v>96</v>
      </c>
      <c r="B24" s="312" t="s">
        <v>196</v>
      </c>
      <c r="C24" s="321">
        <f>C21/(PRODUCT(G21:G22))+(1/PRODUCT(G18,G23))*(C23-(C21/PRODUCT(G21:G23))*(1-EXP(-PRODUCT(G18,G23))))</f>
        <v>0.0323530058646253</v>
      </c>
      <c r="D24" s="8"/>
      <c r="E24" s="8"/>
      <c r="F24" s="8"/>
      <c r="G24" s="8"/>
      <c r="H24" s="8"/>
      <c r="I24" s="20"/>
    </row>
    <row r="25" spans="1:9" ht="11.25">
      <c r="A25" s="48"/>
      <c r="B25" s="93" t="s">
        <v>19</v>
      </c>
      <c r="C25" s="319"/>
      <c r="D25" s="8"/>
      <c r="E25" s="8"/>
      <c r="F25" s="8"/>
      <c r="G25" s="8"/>
      <c r="H25" s="8"/>
      <c r="I25" s="20"/>
    </row>
    <row r="26" spans="1:9" ht="11.25">
      <c r="A26" s="48" t="s">
        <v>73</v>
      </c>
      <c r="B26" s="89" t="s">
        <v>141</v>
      </c>
      <c r="C26" s="323">
        <f>PRODUCT(C20,G19)/G18</f>
        <v>0.0004345</v>
      </c>
      <c r="D26" s="45"/>
      <c r="E26" s="8"/>
      <c r="F26" s="8"/>
      <c r="G26" s="8"/>
      <c r="H26" s="8"/>
      <c r="I26" s="20"/>
    </row>
    <row r="27" spans="1:9" ht="12" thickBot="1">
      <c r="A27" s="22"/>
      <c r="B27" s="96"/>
      <c r="C27" s="325"/>
      <c r="D27" s="8"/>
      <c r="E27" s="8"/>
      <c r="F27" s="8"/>
      <c r="G27" s="8"/>
      <c r="H27" s="8"/>
      <c r="I27" s="20"/>
    </row>
    <row r="28" spans="1:9" ht="12" thickBot="1">
      <c r="A28" s="22"/>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row r="59" spans="1:9" ht="11.25">
      <c r="A59" s="150"/>
      <c r="B59" s="150"/>
      <c r="C59" s="150"/>
      <c r="D59" s="150"/>
      <c r="E59" s="150"/>
      <c r="F59" s="150"/>
      <c r="G59" s="150"/>
      <c r="H59" s="150"/>
      <c r="I59" s="150"/>
    </row>
    <row r="60" spans="1:9" ht="11.25">
      <c r="A60" s="150"/>
      <c r="B60" s="150"/>
      <c r="C60" s="150"/>
      <c r="D60" s="150"/>
      <c r="E60" s="150"/>
      <c r="F60" s="150"/>
      <c r="G60" s="150"/>
      <c r="H60" s="150"/>
      <c r="I60" s="150"/>
    </row>
    <row r="61" spans="1:9" ht="11.25">
      <c r="A61" s="150"/>
      <c r="B61" s="150"/>
      <c r="C61" s="150"/>
      <c r="D61" s="150"/>
      <c r="E61" s="150"/>
      <c r="F61" s="150"/>
      <c r="G61" s="150"/>
      <c r="H61" s="150"/>
      <c r="I61" s="150"/>
    </row>
    <row r="62" spans="1:9" ht="11.25">
      <c r="A62" s="150"/>
      <c r="B62" s="150"/>
      <c r="C62" s="150"/>
      <c r="D62" s="150"/>
      <c r="E62" s="150"/>
      <c r="F62" s="150"/>
      <c r="G62" s="150"/>
      <c r="H62" s="150"/>
      <c r="I62" s="150"/>
    </row>
    <row r="63" spans="1:9" ht="11.25">
      <c r="A63" s="150"/>
      <c r="B63" s="150"/>
      <c r="C63" s="150"/>
      <c r="D63" s="150"/>
      <c r="E63" s="150"/>
      <c r="F63" s="150"/>
      <c r="G63" s="150"/>
      <c r="H63" s="150"/>
      <c r="I63" s="150"/>
    </row>
    <row r="64" spans="1:9" ht="11.25">
      <c r="A64" s="150"/>
      <c r="B64" s="150"/>
      <c r="C64" s="150"/>
      <c r="D64" s="150"/>
      <c r="E64" s="150"/>
      <c r="F64" s="150"/>
      <c r="G64" s="150"/>
      <c r="H64" s="150"/>
      <c r="I64" s="150"/>
    </row>
    <row r="65" spans="1:9" ht="11.25">
      <c r="A65" s="150"/>
      <c r="B65" s="150"/>
      <c r="C65" s="150"/>
      <c r="D65" s="150"/>
      <c r="E65" s="150"/>
      <c r="F65" s="150"/>
      <c r="G65" s="150"/>
      <c r="H65" s="150"/>
      <c r="I65" s="150"/>
    </row>
    <row r="66" spans="1:9" ht="11.25">
      <c r="A66" s="150"/>
      <c r="B66" s="150"/>
      <c r="C66" s="150"/>
      <c r="D66" s="150"/>
      <c r="E66" s="150"/>
      <c r="F66" s="150"/>
      <c r="G66" s="150"/>
      <c r="H66" s="150"/>
      <c r="I66" s="150"/>
    </row>
    <row r="67" spans="1:9" ht="11.25">
      <c r="A67" s="150"/>
      <c r="B67" s="150"/>
      <c r="C67" s="150"/>
      <c r="D67" s="150"/>
      <c r="E67" s="150"/>
      <c r="F67" s="150"/>
      <c r="G67" s="150"/>
      <c r="H67" s="150"/>
      <c r="I67" s="150"/>
    </row>
    <row r="68" spans="1:9" ht="11.25">
      <c r="A68" s="150"/>
      <c r="B68" s="150"/>
      <c r="C68" s="150"/>
      <c r="D68" s="150"/>
      <c r="E68" s="150"/>
      <c r="F68" s="150"/>
      <c r="G68" s="150"/>
      <c r="H68" s="150"/>
      <c r="I68" s="150"/>
    </row>
    <row r="69" spans="1:9" ht="11.25">
      <c r="A69" s="150"/>
      <c r="B69" s="150"/>
      <c r="C69" s="150"/>
      <c r="D69" s="150"/>
      <c r="E69" s="150"/>
      <c r="F69" s="150"/>
      <c r="G69" s="150"/>
      <c r="H69" s="150"/>
      <c r="I69" s="150"/>
    </row>
    <row r="70" spans="1:9" ht="11.25">
      <c r="A70" s="150"/>
      <c r="B70" s="150"/>
      <c r="C70" s="150"/>
      <c r="D70" s="150"/>
      <c r="E70" s="150"/>
      <c r="F70" s="150"/>
      <c r="G70" s="150"/>
      <c r="H70" s="150"/>
      <c r="I70" s="150"/>
    </row>
    <row r="71" spans="1:9" ht="11.25">
      <c r="A71" s="150"/>
      <c r="B71" s="150"/>
      <c r="C71" s="150"/>
      <c r="D71" s="150"/>
      <c r="E71" s="150"/>
      <c r="F71" s="150"/>
      <c r="G71" s="150"/>
      <c r="H71" s="150"/>
      <c r="I71" s="150"/>
    </row>
    <row r="72" spans="1:9" ht="11.25">
      <c r="A72" s="150"/>
      <c r="B72" s="150"/>
      <c r="C72" s="150"/>
      <c r="D72" s="150"/>
      <c r="E72" s="150"/>
      <c r="F72" s="150"/>
      <c r="G72" s="150"/>
      <c r="H72" s="150"/>
      <c r="I72" s="150"/>
    </row>
    <row r="73" spans="1:9" ht="11.25">
      <c r="A73" s="150"/>
      <c r="B73" s="150"/>
      <c r="C73" s="150"/>
      <c r="D73" s="150"/>
      <c r="E73" s="150"/>
      <c r="F73" s="150"/>
      <c r="G73" s="150"/>
      <c r="H73" s="150"/>
      <c r="I73" s="150"/>
    </row>
    <row r="74" spans="1:9" ht="11.25">
      <c r="A74" s="150"/>
      <c r="B74" s="150"/>
      <c r="C74" s="150"/>
      <c r="D74" s="150"/>
      <c r="E74" s="150"/>
      <c r="F74" s="150"/>
      <c r="G74" s="150"/>
      <c r="H74" s="150"/>
      <c r="I74" s="150"/>
    </row>
    <row r="75" spans="1:9" ht="11.25">
      <c r="A75" s="150"/>
      <c r="B75" s="150"/>
      <c r="C75" s="150"/>
      <c r="D75" s="150"/>
      <c r="E75" s="150"/>
      <c r="F75" s="150"/>
      <c r="G75" s="150"/>
      <c r="H75" s="150"/>
      <c r="I75" s="150"/>
    </row>
    <row r="76" spans="1:9" ht="11.25">
      <c r="A76" s="150"/>
      <c r="B76" s="150"/>
      <c r="C76" s="150"/>
      <c r="D76" s="150"/>
      <c r="E76" s="150"/>
      <c r="F76" s="150"/>
      <c r="G76" s="150"/>
      <c r="H76" s="150"/>
      <c r="I76"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colBreaks count="1" manualBreakCount="1">
    <brk id="9" max="58" man="1"/>
  </colBreaks>
  <drawing r:id="rId1"/>
</worksheet>
</file>

<file path=xl/worksheets/sheet5.xml><?xml version="1.0" encoding="utf-8"?>
<worksheet xmlns="http://schemas.openxmlformats.org/spreadsheetml/2006/main" xmlns:r="http://schemas.openxmlformats.org/officeDocument/2006/relationships">
  <dimension ref="A1:K58"/>
  <sheetViews>
    <sheetView zoomScale="120" zoomScaleNormal="120" zoomScaleSheetLayoutView="100" workbookViewId="0" topLeftCell="A1">
      <selection activeCell="F36" sqref="F36"/>
    </sheetView>
  </sheetViews>
  <sheetFormatPr defaultColWidth="8.796875" defaultRowHeight="14.25"/>
  <cols>
    <col min="1" max="1" width="4.59765625" style="46" customWidth="1"/>
    <col min="2" max="2" width="32.5" style="46" customWidth="1"/>
    <col min="3" max="3" width="9" style="46" bestFit="1" customWidth="1"/>
    <col min="4" max="4" width="2.3984375" style="46" customWidth="1"/>
    <col min="5" max="5" width="4.59765625" style="46" customWidth="1"/>
    <col min="6" max="6" width="30.59765625" style="46" customWidth="1"/>
    <col min="7" max="7" width="6" style="46" bestFit="1" customWidth="1"/>
    <col min="8" max="8" width="5" style="46" bestFit="1"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131</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11" s="67" customFormat="1" ht="12.75">
      <c r="A5" s="148"/>
      <c r="B5" s="136" t="s">
        <v>125</v>
      </c>
      <c r="C5" s="137">
        <f>Summary!C7</f>
        <v>0</v>
      </c>
      <c r="D5" s="139"/>
      <c r="E5" s="139"/>
      <c r="F5" s="139"/>
      <c r="G5" s="139"/>
      <c r="H5" s="139"/>
      <c r="I5" s="149"/>
      <c r="K5" s="10"/>
    </row>
    <row r="6" spans="1:11" s="67" customFormat="1" ht="7.5" thickBot="1">
      <c r="A6" s="11"/>
      <c r="B6" s="10"/>
      <c r="C6" s="10"/>
      <c r="D6" s="10"/>
      <c r="E6" s="10"/>
      <c r="F6" s="10"/>
      <c r="G6" s="10"/>
      <c r="H6" s="10"/>
      <c r="I6" s="19"/>
      <c r="K6" s="10"/>
    </row>
    <row r="7" spans="1:11" ht="11.25">
      <c r="A7" s="47" t="s">
        <v>97</v>
      </c>
      <c r="B7" s="12" t="s">
        <v>1</v>
      </c>
      <c r="C7" s="41">
        <f>Summary!C9</f>
        <v>0</v>
      </c>
      <c r="D7" s="8"/>
      <c r="E7" s="34"/>
      <c r="F7" s="1" t="s">
        <v>218</v>
      </c>
      <c r="G7" s="2"/>
      <c r="H7" s="74" t="s">
        <v>73</v>
      </c>
      <c r="I7" s="20"/>
      <c r="J7" s="8"/>
      <c r="K7" s="8"/>
    </row>
    <row r="8" spans="1:11" ht="12" thickBot="1">
      <c r="A8" s="48" t="s">
        <v>98</v>
      </c>
      <c r="B8" s="13" t="s">
        <v>2</v>
      </c>
      <c r="C8" s="42">
        <f>Summary!C10</f>
        <v>0</v>
      </c>
      <c r="D8" s="8"/>
      <c r="E8" s="33"/>
      <c r="F8" s="3" t="s">
        <v>167</v>
      </c>
      <c r="G8" s="4"/>
      <c r="H8" s="75" t="s">
        <v>73</v>
      </c>
      <c r="I8" s="20"/>
      <c r="J8" s="8"/>
      <c r="K8" s="8"/>
    </row>
    <row r="9" spans="1:11" ht="11.25">
      <c r="A9" s="48" t="s">
        <v>99</v>
      </c>
      <c r="B9" s="14"/>
      <c r="C9" s="15"/>
      <c r="D9" s="8"/>
      <c r="E9" s="33"/>
      <c r="F9" s="23" t="s">
        <v>11</v>
      </c>
      <c r="G9" s="24">
        <v>100</v>
      </c>
      <c r="H9" s="59" t="s">
        <v>0</v>
      </c>
      <c r="I9" s="20"/>
      <c r="J9" s="8"/>
      <c r="K9" s="8"/>
    </row>
    <row r="10" spans="1:11" ht="11.25">
      <c r="A10" s="48" t="s">
        <v>94</v>
      </c>
      <c r="B10" s="18" t="s">
        <v>23</v>
      </c>
      <c r="C10" s="20"/>
      <c r="D10" s="8"/>
      <c r="E10" s="33" t="s">
        <v>97</v>
      </c>
      <c r="F10" s="23" t="s">
        <v>10</v>
      </c>
      <c r="G10" s="24">
        <f>C11</f>
        <v>0.01</v>
      </c>
      <c r="H10" s="59" t="s">
        <v>74</v>
      </c>
      <c r="I10" s="20"/>
      <c r="J10" s="8"/>
      <c r="K10" s="8"/>
    </row>
    <row r="11" spans="1:11" ht="12" thickBot="1">
      <c r="A11" s="66" t="s">
        <v>96</v>
      </c>
      <c r="B11" s="16" t="s">
        <v>10</v>
      </c>
      <c r="C11" s="17">
        <f>PRODUCT(G7:G8,0.01)</f>
        <v>0.01</v>
      </c>
      <c r="D11" s="8"/>
      <c r="E11" s="33"/>
      <c r="F11" s="23" t="s">
        <v>215</v>
      </c>
      <c r="G11" s="292">
        <f>IF(C7=0,0,IF(C7&lt;0.005,0.001,IF(C7&lt;0.05,0.01,IF(C7&lt;0.5,0.02,IF(C7&lt;1.25,0.075,IF(C7&lt;2.5,0.15,0.25))))))</f>
        <v>0</v>
      </c>
      <c r="H11" s="59" t="s">
        <v>74</v>
      </c>
      <c r="I11" s="20"/>
      <c r="J11" s="8"/>
      <c r="K11" s="8"/>
    </row>
    <row r="12" spans="1:11" ht="12" thickBot="1">
      <c r="A12" s="18"/>
      <c r="B12" s="8"/>
      <c r="C12" s="8"/>
      <c r="D12" s="8"/>
      <c r="E12" s="33" t="s">
        <v>98</v>
      </c>
      <c r="F12" s="23" t="s">
        <v>214</v>
      </c>
      <c r="G12" s="292">
        <f>IF(C8=0,0,IF(C8&lt;0.00025,0.0001,IF(C8&lt;0.001,0.0015,IF(C8&lt;0.05,0.003,IF(C8&lt;0.1,0.015,0.03)))))</f>
        <v>0</v>
      </c>
      <c r="H12" s="59" t="s">
        <v>74</v>
      </c>
      <c r="I12" s="20"/>
      <c r="J12" s="8"/>
      <c r="K12" s="8"/>
    </row>
    <row r="13" spans="1:11" ht="11.25">
      <c r="A13" s="34"/>
      <c r="B13" s="5" t="s">
        <v>16</v>
      </c>
      <c r="C13" s="71"/>
      <c r="D13" s="8"/>
      <c r="E13" s="33"/>
      <c r="F13" s="3" t="s">
        <v>168</v>
      </c>
      <c r="G13" s="4"/>
      <c r="H13" s="75" t="s">
        <v>73</v>
      </c>
      <c r="I13" s="20"/>
      <c r="J13" s="8"/>
      <c r="K13" s="8"/>
    </row>
    <row r="14" spans="1:11" ht="11.25">
      <c r="A14" s="33" t="s">
        <v>92</v>
      </c>
      <c r="B14" s="6" t="s">
        <v>89</v>
      </c>
      <c r="C14" s="49">
        <f>PRODUCT(G9:G11)</f>
        <v>0</v>
      </c>
      <c r="D14" s="8"/>
      <c r="E14" s="33" t="s">
        <v>99</v>
      </c>
      <c r="F14" s="23" t="s">
        <v>4</v>
      </c>
      <c r="G14" s="24">
        <v>11</v>
      </c>
      <c r="H14" s="59" t="s">
        <v>0</v>
      </c>
      <c r="I14" s="20"/>
      <c r="J14" s="8"/>
      <c r="K14" s="8"/>
    </row>
    <row r="15" spans="1:11" ht="11.25">
      <c r="A15" s="33"/>
      <c r="B15" s="7"/>
      <c r="C15" s="49"/>
      <c r="D15" s="8"/>
      <c r="E15" s="33"/>
      <c r="F15" s="23" t="s">
        <v>3</v>
      </c>
      <c r="G15" s="24">
        <v>700</v>
      </c>
      <c r="H15" s="59" t="s">
        <v>0</v>
      </c>
      <c r="I15" s="20"/>
      <c r="J15" s="8"/>
      <c r="K15" s="8"/>
    </row>
    <row r="16" spans="1:11" ht="11.25">
      <c r="A16" s="33" t="s">
        <v>93</v>
      </c>
      <c r="B16" s="72" t="s">
        <v>17</v>
      </c>
      <c r="C16" s="73"/>
      <c r="D16" s="8"/>
      <c r="E16" s="33" t="s">
        <v>94</v>
      </c>
      <c r="F16" s="23" t="s">
        <v>35</v>
      </c>
      <c r="G16" s="24">
        <v>30</v>
      </c>
      <c r="H16" s="59" t="s">
        <v>0</v>
      </c>
      <c r="I16" s="20"/>
      <c r="J16" s="8"/>
      <c r="K16" s="8"/>
    </row>
    <row r="17" spans="1:11" ht="11.25">
      <c r="A17" s="33"/>
      <c r="B17" s="6" t="s">
        <v>90</v>
      </c>
      <c r="C17" s="49">
        <f>PRODUCT(G10,G9,G12)</f>
        <v>0</v>
      </c>
      <c r="D17" s="8"/>
      <c r="E17" s="33"/>
      <c r="F17" s="23" t="s">
        <v>5</v>
      </c>
      <c r="G17" s="24">
        <v>0.5</v>
      </c>
      <c r="H17" s="59" t="s">
        <v>0</v>
      </c>
      <c r="I17" s="20"/>
      <c r="J17" s="8"/>
      <c r="K17" s="8"/>
    </row>
    <row r="18" spans="1:11" ht="11.25">
      <c r="A18" s="33" t="s">
        <v>73</v>
      </c>
      <c r="B18" s="50"/>
      <c r="C18" s="51"/>
      <c r="D18" s="8"/>
      <c r="E18" s="33" t="s">
        <v>96</v>
      </c>
      <c r="F18" s="23" t="s">
        <v>8</v>
      </c>
      <c r="G18" s="24">
        <f>1-G17</f>
        <v>0.5</v>
      </c>
      <c r="H18" s="59" t="s">
        <v>74</v>
      </c>
      <c r="I18" s="20"/>
      <c r="J18" s="8"/>
      <c r="K18" s="8"/>
    </row>
    <row r="19" spans="1:11" ht="11.25">
      <c r="A19" s="33"/>
      <c r="B19" s="93" t="s">
        <v>24</v>
      </c>
      <c r="C19" s="97"/>
      <c r="D19" s="8"/>
      <c r="E19" s="33"/>
      <c r="F19" s="23" t="s">
        <v>6</v>
      </c>
      <c r="G19" s="24">
        <v>70</v>
      </c>
      <c r="H19" s="59" t="s">
        <v>0</v>
      </c>
      <c r="I19" s="20"/>
      <c r="J19" s="8"/>
      <c r="K19" s="8"/>
    </row>
    <row r="20" spans="1:11" ht="12" thickBot="1">
      <c r="A20" s="33" t="s">
        <v>94</v>
      </c>
      <c r="B20" s="89" t="s">
        <v>49</v>
      </c>
      <c r="C20" s="90">
        <f>PRODUCT(G13:G16,)/1000000</f>
        <v>0.231</v>
      </c>
      <c r="D20" s="8"/>
      <c r="E20" s="40"/>
      <c r="F20" s="25" t="s">
        <v>7</v>
      </c>
      <c r="G20" s="26">
        <v>1700</v>
      </c>
      <c r="H20" s="64" t="s">
        <v>0</v>
      </c>
      <c r="I20" s="20"/>
      <c r="J20" s="8"/>
      <c r="K20" s="8"/>
    </row>
    <row r="21" spans="1:11" ht="11.25">
      <c r="A21" s="33"/>
      <c r="B21" s="93"/>
      <c r="C21" s="97"/>
      <c r="D21" s="8"/>
      <c r="E21" s="69"/>
      <c r="F21" s="8"/>
      <c r="G21" s="8"/>
      <c r="H21" s="8"/>
      <c r="I21" s="20"/>
      <c r="K21" s="8"/>
    </row>
    <row r="22" spans="1:9" ht="11.25">
      <c r="A22" s="33" t="s">
        <v>95</v>
      </c>
      <c r="B22" s="94" t="s">
        <v>18</v>
      </c>
      <c r="C22" s="95"/>
      <c r="D22" s="8"/>
      <c r="E22" s="68"/>
      <c r="F22" s="8"/>
      <c r="G22" s="8"/>
      <c r="H22" s="8"/>
      <c r="I22" s="20"/>
    </row>
    <row r="23" spans="1:9" ht="11.25">
      <c r="A23" s="33"/>
      <c r="B23" s="286" t="s">
        <v>197</v>
      </c>
      <c r="C23" s="90">
        <f>PRODUCT(C20,G18,1000000)/G19/G20</f>
        <v>0.9705882352941176</v>
      </c>
      <c r="D23" s="8"/>
      <c r="E23" s="8"/>
      <c r="F23" s="108"/>
      <c r="G23" s="8"/>
      <c r="H23" s="8"/>
      <c r="I23" s="20"/>
    </row>
    <row r="24" spans="1:9" ht="11.25">
      <c r="A24" s="33" t="s">
        <v>96</v>
      </c>
      <c r="B24" s="91"/>
      <c r="C24" s="92"/>
      <c r="D24" s="8"/>
      <c r="E24" s="8"/>
      <c r="F24" s="108"/>
      <c r="G24" s="8"/>
      <c r="H24" s="8"/>
      <c r="I24" s="20"/>
    </row>
    <row r="25" spans="1:9" ht="11.25">
      <c r="A25" s="33"/>
      <c r="B25" s="93" t="s">
        <v>19</v>
      </c>
      <c r="C25" s="97"/>
      <c r="D25" s="8"/>
      <c r="E25" s="8"/>
      <c r="G25" s="8"/>
      <c r="H25" s="8"/>
      <c r="I25" s="20"/>
    </row>
    <row r="26" spans="1:9" ht="11.25">
      <c r="A26" s="33" t="s">
        <v>73</v>
      </c>
      <c r="B26" s="89" t="s">
        <v>37</v>
      </c>
      <c r="C26" s="90">
        <f>PRODUCT(C20,G17)/G16</f>
        <v>0.00385</v>
      </c>
      <c r="D26" s="8"/>
      <c r="E26" s="8"/>
      <c r="F26" s="108"/>
      <c r="G26" s="8"/>
      <c r="H26" s="8"/>
      <c r="I26" s="20"/>
    </row>
    <row r="27" spans="1:9" ht="12" thickBot="1">
      <c r="A27" s="30"/>
      <c r="B27" s="96"/>
      <c r="C27" s="106"/>
      <c r="D27" s="8"/>
      <c r="E27" s="8"/>
      <c r="F27" s="8"/>
      <c r="G27" s="8"/>
      <c r="H27" s="8"/>
      <c r="I27" s="20"/>
    </row>
    <row r="28" spans="1:9" ht="12" thickBot="1">
      <c r="A28" s="22"/>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1"/>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6.xml><?xml version="1.0" encoding="utf-8"?>
<worksheet xmlns="http://schemas.openxmlformats.org/spreadsheetml/2006/main" xmlns:r="http://schemas.openxmlformats.org/officeDocument/2006/relationships">
  <dimension ref="A1:L57"/>
  <sheetViews>
    <sheetView zoomScale="120" zoomScaleNormal="120" zoomScaleSheetLayoutView="100" workbookViewId="0" topLeftCell="A1">
      <selection activeCell="D22" sqref="D22"/>
    </sheetView>
  </sheetViews>
  <sheetFormatPr defaultColWidth="8.796875" defaultRowHeight="14.25"/>
  <cols>
    <col min="1" max="1" width="4.59765625" style="46" customWidth="1"/>
    <col min="2" max="2" width="32.5" style="46" customWidth="1"/>
    <col min="3" max="3" width="9" style="46" bestFit="1" customWidth="1"/>
    <col min="4" max="4" width="2.3984375" style="46" customWidth="1"/>
    <col min="5" max="5" width="4.59765625" style="46" customWidth="1"/>
    <col min="6" max="6" width="30.59765625" style="46" customWidth="1"/>
    <col min="7" max="7" width="6" style="46" bestFit="1" customWidth="1"/>
    <col min="8" max="8" width="5" style="46" bestFit="1"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132</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11" s="67" customFormat="1" ht="12.75">
      <c r="A5" s="148"/>
      <c r="B5" s="136" t="s">
        <v>125</v>
      </c>
      <c r="C5" s="137">
        <f>Summary!C7</f>
        <v>0</v>
      </c>
      <c r="D5" s="139"/>
      <c r="E5" s="139"/>
      <c r="F5" s="139"/>
      <c r="G5" s="139"/>
      <c r="H5" s="139"/>
      <c r="I5" s="149"/>
      <c r="K5" s="10"/>
    </row>
    <row r="6" spans="1:11" s="67" customFormat="1" ht="7.5" thickBot="1">
      <c r="A6" s="11"/>
      <c r="B6" s="10"/>
      <c r="C6" s="10"/>
      <c r="D6" s="10"/>
      <c r="E6" s="10"/>
      <c r="F6" s="10"/>
      <c r="G6" s="10"/>
      <c r="H6" s="10"/>
      <c r="I6" s="19"/>
      <c r="K6" s="10"/>
    </row>
    <row r="7" spans="1:12" ht="11.25">
      <c r="A7" s="47" t="s">
        <v>97</v>
      </c>
      <c r="B7" s="12" t="s">
        <v>1</v>
      </c>
      <c r="C7" s="41">
        <f>Summary!C9</f>
        <v>0</v>
      </c>
      <c r="D7" s="8"/>
      <c r="E7" s="34"/>
      <c r="F7" s="1" t="s">
        <v>219</v>
      </c>
      <c r="G7" s="2"/>
      <c r="H7" s="74" t="s">
        <v>73</v>
      </c>
      <c r="I7" s="20"/>
      <c r="K7" s="8"/>
      <c r="L7" s="8"/>
    </row>
    <row r="8" spans="1:12" ht="12" thickBot="1">
      <c r="A8" s="48" t="s">
        <v>98</v>
      </c>
      <c r="B8" s="13" t="s">
        <v>2</v>
      </c>
      <c r="C8" s="42">
        <f>Summary!C10</f>
        <v>0</v>
      </c>
      <c r="D8" s="8"/>
      <c r="E8" s="33"/>
      <c r="F8" s="3" t="s">
        <v>167</v>
      </c>
      <c r="G8" s="4"/>
      <c r="H8" s="75" t="s">
        <v>73</v>
      </c>
      <c r="I8" s="20"/>
      <c r="K8" s="8"/>
      <c r="L8" s="8"/>
    </row>
    <row r="9" spans="1:12" ht="11.25">
      <c r="A9" s="48" t="s">
        <v>99</v>
      </c>
      <c r="B9" s="14"/>
      <c r="C9" s="15"/>
      <c r="D9" s="8"/>
      <c r="E9" s="33"/>
      <c r="F9" s="23" t="s">
        <v>11</v>
      </c>
      <c r="G9" s="24">
        <v>100</v>
      </c>
      <c r="H9" s="59" t="s">
        <v>0</v>
      </c>
      <c r="I9" s="20"/>
      <c r="K9" s="8"/>
      <c r="L9" s="8"/>
    </row>
    <row r="10" spans="1:12" ht="11.25">
      <c r="A10" s="48" t="s">
        <v>94</v>
      </c>
      <c r="B10" s="18" t="s">
        <v>23</v>
      </c>
      <c r="C10" s="20"/>
      <c r="D10" s="8"/>
      <c r="E10" s="33" t="s">
        <v>97</v>
      </c>
      <c r="F10" s="23" t="s">
        <v>10</v>
      </c>
      <c r="G10" s="24">
        <f>C11</f>
        <v>0.01</v>
      </c>
      <c r="H10" s="59" t="s">
        <v>74</v>
      </c>
      <c r="I10" s="20"/>
      <c r="K10" s="8"/>
      <c r="L10" s="8"/>
    </row>
    <row r="11" spans="1:12" ht="12" thickBot="1">
      <c r="A11" s="66" t="s">
        <v>96</v>
      </c>
      <c r="B11" s="16" t="s">
        <v>10</v>
      </c>
      <c r="C11" s="17">
        <f>PRODUCT(G7:G8,0.01)</f>
        <v>0.01</v>
      </c>
      <c r="D11" s="8"/>
      <c r="E11" s="33"/>
      <c r="F11" s="23" t="s">
        <v>213</v>
      </c>
      <c r="G11" s="292">
        <f>IF(C7=0,0,IF(C7&lt;0.005,0.001,IF(C7&lt;0.05,0.01,IF(C7&lt;0.5,0.02,IF(C7&lt;1.25,0.075,IF(C7&lt;2.5,0.15,0.25))))))</f>
        <v>0</v>
      </c>
      <c r="H11" s="59" t="s">
        <v>74</v>
      </c>
      <c r="I11" s="20"/>
      <c r="K11" s="8"/>
      <c r="L11" s="8"/>
    </row>
    <row r="12" spans="1:12" ht="12" thickBot="1">
      <c r="A12" s="18"/>
      <c r="B12" s="8"/>
      <c r="C12" s="8"/>
      <c r="D12" s="8"/>
      <c r="E12" s="33" t="s">
        <v>98</v>
      </c>
      <c r="F12" s="23" t="s">
        <v>214</v>
      </c>
      <c r="G12" s="292">
        <f>IF(C8=0,0,IF(C8&lt;0.00025,0.0001,IF(C8&lt;0.001,0.0015,IF(C8&lt;0.05,0.003,IF(C8&lt;0.1,0.015,0.03)))))</f>
        <v>0</v>
      </c>
      <c r="H12" s="59" t="s">
        <v>74</v>
      </c>
      <c r="I12" s="20"/>
      <c r="K12" s="8"/>
      <c r="L12" s="8"/>
    </row>
    <row r="13" spans="1:12" ht="11.25">
      <c r="A13" s="34"/>
      <c r="B13" s="5" t="s">
        <v>16</v>
      </c>
      <c r="C13" s="71"/>
      <c r="D13" s="8"/>
      <c r="E13" s="33"/>
      <c r="F13" s="3" t="s">
        <v>168</v>
      </c>
      <c r="G13" s="4"/>
      <c r="H13" s="75" t="s">
        <v>73</v>
      </c>
      <c r="I13" s="20"/>
      <c r="K13" s="8"/>
      <c r="L13" s="8"/>
    </row>
    <row r="14" spans="1:12" ht="11.25">
      <c r="A14" s="33" t="s">
        <v>92</v>
      </c>
      <c r="B14" s="6" t="s">
        <v>89</v>
      </c>
      <c r="C14" s="49">
        <f>PRODUCT(G9:G11)</f>
        <v>0</v>
      </c>
      <c r="D14" s="8"/>
      <c r="E14" s="33" t="s">
        <v>99</v>
      </c>
      <c r="F14" s="23" t="s">
        <v>4</v>
      </c>
      <c r="G14" s="24">
        <v>11</v>
      </c>
      <c r="H14" s="59" t="s">
        <v>0</v>
      </c>
      <c r="I14" s="20"/>
      <c r="K14" s="8"/>
      <c r="L14" s="8"/>
    </row>
    <row r="15" spans="1:12" ht="11.25">
      <c r="A15" s="33"/>
      <c r="B15" s="7"/>
      <c r="C15" s="49"/>
      <c r="D15" s="8"/>
      <c r="E15" s="33"/>
      <c r="F15" s="23" t="s">
        <v>3</v>
      </c>
      <c r="G15" s="24">
        <v>700</v>
      </c>
      <c r="H15" s="59" t="s">
        <v>0</v>
      </c>
      <c r="I15" s="20"/>
      <c r="K15" s="8"/>
      <c r="L15" s="8"/>
    </row>
    <row r="16" spans="1:12" ht="11.25">
      <c r="A16" s="33" t="s">
        <v>93</v>
      </c>
      <c r="B16" s="72" t="s">
        <v>17</v>
      </c>
      <c r="C16" s="73"/>
      <c r="D16" s="8"/>
      <c r="E16" s="33" t="s">
        <v>94</v>
      </c>
      <c r="F16" s="23" t="s">
        <v>144</v>
      </c>
      <c r="G16" s="24">
        <v>1825</v>
      </c>
      <c r="H16" s="59" t="s">
        <v>0</v>
      </c>
      <c r="I16" s="20"/>
      <c r="K16" s="8"/>
      <c r="L16" s="8"/>
    </row>
    <row r="17" spans="1:12" ht="11.25">
      <c r="A17" s="33"/>
      <c r="B17" s="6" t="s">
        <v>90</v>
      </c>
      <c r="C17" s="49">
        <f>PRODUCT(G10,G9,G12)</f>
        <v>0</v>
      </c>
      <c r="D17" s="8"/>
      <c r="E17" s="33"/>
      <c r="F17" s="23" t="s">
        <v>5</v>
      </c>
      <c r="G17" s="24">
        <v>0.5</v>
      </c>
      <c r="H17" s="59" t="s">
        <v>0</v>
      </c>
      <c r="I17" s="20"/>
      <c r="K17" s="8"/>
      <c r="L17" s="8"/>
    </row>
    <row r="18" spans="1:12" ht="11.25">
      <c r="A18" s="33" t="s">
        <v>73</v>
      </c>
      <c r="B18" s="50"/>
      <c r="C18" s="51"/>
      <c r="D18" s="8"/>
      <c r="E18" s="33" t="s">
        <v>96</v>
      </c>
      <c r="F18" s="23" t="s">
        <v>8</v>
      </c>
      <c r="G18" s="24">
        <f>1-G17</f>
        <v>0.5</v>
      </c>
      <c r="H18" s="59" t="s">
        <v>74</v>
      </c>
      <c r="I18" s="20"/>
      <c r="K18" s="8"/>
      <c r="L18" s="8"/>
    </row>
    <row r="19" spans="1:12" ht="11.25">
      <c r="A19" s="33"/>
      <c r="B19" s="93" t="s">
        <v>24</v>
      </c>
      <c r="C19" s="97"/>
      <c r="D19" s="8"/>
      <c r="E19" s="33"/>
      <c r="F19" s="23" t="s">
        <v>6</v>
      </c>
      <c r="G19" s="24">
        <v>70</v>
      </c>
      <c r="H19" s="59" t="s">
        <v>0</v>
      </c>
      <c r="I19" s="20"/>
      <c r="K19" s="8"/>
      <c r="L19" s="8"/>
    </row>
    <row r="20" spans="1:12" ht="12" thickBot="1">
      <c r="A20" s="33" t="s">
        <v>94</v>
      </c>
      <c r="B20" s="89" t="s">
        <v>143</v>
      </c>
      <c r="C20" s="90">
        <f>PRODUCT(G13:G16,)/1000000</f>
        <v>14.0525</v>
      </c>
      <c r="D20" s="8"/>
      <c r="E20" s="40"/>
      <c r="F20" s="25" t="s">
        <v>7</v>
      </c>
      <c r="G20" s="26">
        <v>1700</v>
      </c>
      <c r="H20" s="64" t="s">
        <v>0</v>
      </c>
      <c r="I20" s="20"/>
      <c r="K20" s="8"/>
      <c r="L20" s="8"/>
    </row>
    <row r="21" spans="1:11" ht="11.25">
      <c r="A21" s="33"/>
      <c r="B21" s="93"/>
      <c r="C21" s="97"/>
      <c r="D21" s="8"/>
      <c r="E21" s="69"/>
      <c r="F21" s="8"/>
      <c r="G21" s="8"/>
      <c r="H21" s="8"/>
      <c r="I21" s="20"/>
      <c r="K21" s="8"/>
    </row>
    <row r="22" spans="1:11" ht="11.25">
      <c r="A22" s="33" t="s">
        <v>95</v>
      </c>
      <c r="B22" s="94" t="s">
        <v>18</v>
      </c>
      <c r="C22" s="95"/>
      <c r="D22" s="8"/>
      <c r="E22" s="68"/>
      <c r="F22" s="8"/>
      <c r="G22" s="8"/>
      <c r="H22" s="8"/>
      <c r="I22" s="20"/>
      <c r="K22" s="8"/>
    </row>
    <row r="23" spans="1:9" ht="11.25">
      <c r="A23" s="33"/>
      <c r="B23" s="286" t="s">
        <v>196</v>
      </c>
      <c r="C23" s="90">
        <f>PRODUCT(C20,G18,1000000)/G19/G20</f>
        <v>59.044117647058826</v>
      </c>
      <c r="D23" s="8"/>
      <c r="E23" s="8"/>
      <c r="F23" s="8"/>
      <c r="G23" s="8"/>
      <c r="H23" s="8"/>
      <c r="I23" s="20"/>
    </row>
    <row r="24" spans="1:9" ht="11.25">
      <c r="A24" s="33" t="s">
        <v>96</v>
      </c>
      <c r="B24" s="91"/>
      <c r="C24" s="92"/>
      <c r="D24" s="8"/>
      <c r="E24" s="8"/>
      <c r="F24" s="8"/>
      <c r="G24" s="8"/>
      <c r="H24" s="8"/>
      <c r="I24" s="20"/>
    </row>
    <row r="25" spans="1:9" ht="11.25">
      <c r="A25" s="33"/>
      <c r="B25" s="93" t="s">
        <v>19</v>
      </c>
      <c r="C25" s="97"/>
      <c r="D25" s="8"/>
      <c r="E25" s="8"/>
      <c r="F25" s="8"/>
      <c r="G25" s="8"/>
      <c r="H25" s="8"/>
      <c r="I25" s="20"/>
    </row>
    <row r="26" spans="1:9" ht="11.25">
      <c r="A26" s="33" t="s">
        <v>73</v>
      </c>
      <c r="B26" s="89" t="s">
        <v>141</v>
      </c>
      <c r="C26" s="90">
        <f>PRODUCT(C20,G17)/G16</f>
        <v>0.00385</v>
      </c>
      <c r="D26" s="8"/>
      <c r="E26" s="8"/>
      <c r="F26" s="8"/>
      <c r="G26" s="8"/>
      <c r="H26" s="8"/>
      <c r="I26" s="20"/>
    </row>
    <row r="27" spans="1:9" ht="12" thickBot="1">
      <c r="A27" s="30"/>
      <c r="B27" s="96"/>
      <c r="C27" s="106"/>
      <c r="D27" s="8"/>
      <c r="E27" s="8"/>
      <c r="F27" s="8"/>
      <c r="G27" s="8"/>
      <c r="H27" s="8"/>
      <c r="I27" s="20"/>
    </row>
    <row r="28" spans="1:9" ht="12" thickBot="1">
      <c r="A28" s="85"/>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1"/>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7.xml><?xml version="1.0" encoding="utf-8"?>
<worksheet xmlns="http://schemas.openxmlformats.org/spreadsheetml/2006/main" xmlns:r="http://schemas.openxmlformats.org/officeDocument/2006/relationships">
  <dimension ref="A1:I56"/>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9" style="46" customWidth="1"/>
    <col min="4" max="4" width="2.8984375" style="46" customWidth="1"/>
    <col min="5" max="5" width="4.5" style="46" customWidth="1"/>
    <col min="6" max="6" width="30.3984375" style="46" customWidth="1"/>
    <col min="7" max="7" width="7.5" style="46" bestFit="1" customWidth="1"/>
    <col min="8" max="8" width="3.09765625" style="46" bestFit="1"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45</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39" t="s">
        <v>103</v>
      </c>
      <c r="B7" s="79" t="s">
        <v>1</v>
      </c>
      <c r="C7" s="41">
        <f>Summary!C9</f>
        <v>0</v>
      </c>
      <c r="D7" s="8"/>
      <c r="E7" s="34"/>
      <c r="F7" s="1" t="s">
        <v>169</v>
      </c>
      <c r="G7" s="2"/>
      <c r="H7" s="74" t="s">
        <v>73</v>
      </c>
      <c r="I7" s="20"/>
    </row>
    <row r="8" spans="1:9" ht="12" thickBot="1">
      <c r="A8" s="30"/>
      <c r="B8" s="80" t="s">
        <v>2</v>
      </c>
      <c r="C8" s="42">
        <f>Summary!C10</f>
        <v>0</v>
      </c>
      <c r="D8" s="8"/>
      <c r="E8" s="33"/>
      <c r="F8" s="23" t="s">
        <v>9</v>
      </c>
      <c r="G8" s="24">
        <v>125</v>
      </c>
      <c r="H8" s="59" t="s">
        <v>0</v>
      </c>
      <c r="I8" s="20"/>
    </row>
    <row r="9" spans="1:9" ht="12" thickBot="1">
      <c r="A9" s="48"/>
      <c r="B9" s="8"/>
      <c r="C9" s="8"/>
      <c r="D9" s="8"/>
      <c r="E9" s="33" t="s">
        <v>97</v>
      </c>
      <c r="F9" s="23" t="s">
        <v>50</v>
      </c>
      <c r="G9" s="24">
        <v>17.5</v>
      </c>
      <c r="H9" s="59" t="s">
        <v>0</v>
      </c>
      <c r="I9" s="20"/>
    </row>
    <row r="10" spans="1:9" ht="11.25">
      <c r="A10" s="47" t="s">
        <v>92</v>
      </c>
      <c r="B10" s="109" t="s">
        <v>39</v>
      </c>
      <c r="C10" s="110"/>
      <c r="D10" s="8"/>
      <c r="E10" s="33"/>
      <c r="F10" s="23" t="s">
        <v>51</v>
      </c>
      <c r="G10" s="24">
        <v>7.5</v>
      </c>
      <c r="H10" s="59" t="s">
        <v>0</v>
      </c>
      <c r="I10" s="20"/>
    </row>
    <row r="11" spans="1:9" ht="11.25">
      <c r="A11" s="48"/>
      <c r="B11" s="111" t="s">
        <v>36</v>
      </c>
      <c r="C11" s="112">
        <f>PRODUCT(G7,G8)/1000000</f>
        <v>0.000125</v>
      </c>
      <c r="D11" s="8"/>
      <c r="E11" s="33" t="s">
        <v>98</v>
      </c>
      <c r="F11" s="23" t="s">
        <v>75</v>
      </c>
      <c r="G11" s="24">
        <v>0.1</v>
      </c>
      <c r="H11" s="59" t="s">
        <v>0</v>
      </c>
      <c r="I11" s="20"/>
    </row>
    <row r="12" spans="1:9" ht="11.25">
      <c r="A12" s="48" t="s">
        <v>93</v>
      </c>
      <c r="B12" s="113"/>
      <c r="C12" s="112"/>
      <c r="D12" s="8"/>
      <c r="E12" s="33"/>
      <c r="F12" s="23" t="s">
        <v>55</v>
      </c>
      <c r="G12" s="24">
        <v>0.025</v>
      </c>
      <c r="H12" s="59" t="s">
        <v>0</v>
      </c>
      <c r="I12" s="20"/>
    </row>
    <row r="13" spans="1:9" ht="11.25">
      <c r="A13" s="48"/>
      <c r="B13" s="114" t="s">
        <v>18</v>
      </c>
      <c r="C13" s="115"/>
      <c r="D13" s="8"/>
      <c r="E13" s="33" t="s">
        <v>99</v>
      </c>
      <c r="F13" s="23" t="s">
        <v>56</v>
      </c>
      <c r="G13" s="24">
        <v>0.1</v>
      </c>
      <c r="H13" s="59" t="s">
        <v>0</v>
      </c>
      <c r="I13" s="20"/>
    </row>
    <row r="14" spans="1:9" ht="11.25">
      <c r="A14" s="48" t="s">
        <v>73</v>
      </c>
      <c r="B14" s="111" t="s">
        <v>104</v>
      </c>
      <c r="C14" s="112">
        <f>PRODUCT(C11,1000000)/G15/G18</f>
        <v>0.5870611717740933</v>
      </c>
      <c r="D14" s="8"/>
      <c r="E14" s="33"/>
      <c r="F14" s="23" t="s">
        <v>57</v>
      </c>
      <c r="G14" s="24">
        <v>0.5</v>
      </c>
      <c r="H14" s="59" t="s">
        <v>0</v>
      </c>
      <c r="I14" s="20"/>
    </row>
    <row r="15" spans="1:9" ht="11.25">
      <c r="A15" s="48"/>
      <c r="B15" s="111" t="s">
        <v>105</v>
      </c>
      <c r="C15" s="112">
        <f>PRODUCT(C11,1000000)/G16/G18</f>
        <v>0.14589169000933616</v>
      </c>
      <c r="D15" s="8"/>
      <c r="E15" s="33" t="s">
        <v>94</v>
      </c>
      <c r="F15" s="23" t="s">
        <v>170</v>
      </c>
      <c r="G15" s="63">
        <f>PRODUCT(G11,(SUM(G9,G12,G12)),(SUM(G10,G12,G12)))-PRODUCT(G9:G11)</f>
        <v>0.1252500000000012</v>
      </c>
      <c r="H15" s="59" t="s">
        <v>74</v>
      </c>
      <c r="I15" s="20"/>
    </row>
    <row r="16" spans="1:9" ht="11.25">
      <c r="A16" s="48" t="s">
        <v>94</v>
      </c>
      <c r="B16" s="111" t="s">
        <v>106</v>
      </c>
      <c r="C16" s="112">
        <f>PRODUCT(C11,1000000)/G17/G18</f>
        <v>0.028280542986425326</v>
      </c>
      <c r="D16" s="8"/>
      <c r="E16" s="33"/>
      <c r="F16" s="23" t="s">
        <v>58</v>
      </c>
      <c r="G16" s="63">
        <f>PRODUCT(G11,(SUM(G9,G13,G13)),(SUM(G10,G13,G13)))-PRODUCT(G9:G11)</f>
        <v>0.5040000000000031</v>
      </c>
      <c r="H16" s="59" t="s">
        <v>74</v>
      </c>
      <c r="I16" s="20"/>
    </row>
    <row r="17" spans="1:9" ht="11.25">
      <c r="A17" s="48"/>
      <c r="B17" s="113"/>
      <c r="C17" s="116"/>
      <c r="D17" s="8"/>
      <c r="E17" s="33" t="s">
        <v>96</v>
      </c>
      <c r="F17" s="23" t="s">
        <v>59</v>
      </c>
      <c r="G17" s="63">
        <f>PRODUCT(G11,(SUM(G9,G14,G14)),(SUM(G10,G14,G14)))-PRODUCT(G9:G11)</f>
        <v>2.6000000000000014</v>
      </c>
      <c r="H17" s="59" t="s">
        <v>74</v>
      </c>
      <c r="I17" s="20"/>
    </row>
    <row r="18" spans="1:9" ht="11.25">
      <c r="A18" s="48" t="s">
        <v>95</v>
      </c>
      <c r="B18" s="113"/>
      <c r="C18" s="116"/>
      <c r="D18" s="8"/>
      <c r="E18" s="33"/>
      <c r="F18" s="23" t="s">
        <v>7</v>
      </c>
      <c r="G18" s="24">
        <v>1700</v>
      </c>
      <c r="H18" s="59" t="s">
        <v>0</v>
      </c>
      <c r="I18" s="20"/>
    </row>
    <row r="19" spans="1:9" ht="12" thickBot="1">
      <c r="A19" s="48"/>
      <c r="B19" s="113"/>
      <c r="C19" s="116"/>
      <c r="D19" s="8"/>
      <c r="E19" s="40"/>
      <c r="F19" s="25" t="s">
        <v>35</v>
      </c>
      <c r="G19" s="26">
        <v>30</v>
      </c>
      <c r="H19" s="64" t="s">
        <v>0</v>
      </c>
      <c r="I19" s="20"/>
    </row>
    <row r="20" spans="1:9" ht="11.25">
      <c r="A20" s="48" t="s">
        <v>96</v>
      </c>
      <c r="B20" s="113"/>
      <c r="C20" s="116"/>
      <c r="D20" s="8"/>
      <c r="E20" s="69"/>
      <c r="F20" s="8"/>
      <c r="G20" s="8"/>
      <c r="H20" s="8"/>
      <c r="I20" s="20"/>
    </row>
    <row r="21" spans="1:9" ht="11.25">
      <c r="A21" s="48"/>
      <c r="B21" s="113"/>
      <c r="C21" s="116"/>
      <c r="D21" s="8"/>
      <c r="E21" s="69"/>
      <c r="F21" s="108"/>
      <c r="G21" s="8"/>
      <c r="H21" s="8"/>
      <c r="I21" s="20"/>
    </row>
    <row r="22" spans="1:9" ht="12" thickBot="1">
      <c r="A22" s="66" t="s">
        <v>73</v>
      </c>
      <c r="B22" s="117"/>
      <c r="C22" s="118"/>
      <c r="D22" s="8"/>
      <c r="E22" s="68"/>
      <c r="F22" s="8"/>
      <c r="G22" s="8"/>
      <c r="H22" s="8"/>
      <c r="I22" s="20"/>
    </row>
    <row r="23" spans="1:9" ht="11.25">
      <c r="A23" s="48"/>
      <c r="B23" s="8"/>
      <c r="C23" s="8"/>
      <c r="D23" s="8"/>
      <c r="E23" s="8"/>
      <c r="F23" s="8"/>
      <c r="G23" s="8"/>
      <c r="H23" s="8"/>
      <c r="I23" s="20"/>
    </row>
    <row r="24" spans="1:9" ht="11.25">
      <c r="A24" s="18"/>
      <c r="B24" s="8"/>
      <c r="C24" s="8"/>
      <c r="D24" s="8"/>
      <c r="E24" s="8"/>
      <c r="F24" s="8"/>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52"/>
      <c r="B29" s="152"/>
      <c r="C29" s="152"/>
      <c r="D29" s="152"/>
      <c r="E29" s="152"/>
      <c r="F29" s="152"/>
      <c r="G29" s="152"/>
      <c r="H29" s="152"/>
      <c r="I29" s="152"/>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8.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8.8984375" style="46" customWidth="1"/>
    <col min="4" max="4" width="2.8984375" style="46" customWidth="1"/>
    <col min="5" max="5" width="4.5" style="46" customWidth="1"/>
    <col min="6" max="6" width="30.3984375" style="46" customWidth="1"/>
    <col min="7" max="7" width="7.59765625" style="46" bestFit="1" customWidth="1"/>
    <col min="8" max="8" width="3.09765625" style="46" bestFit="1"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134</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39" t="s">
        <v>103</v>
      </c>
      <c r="B7" s="12" t="s">
        <v>1</v>
      </c>
      <c r="C7" s="41">
        <f>Summary!C9</f>
        <v>0</v>
      </c>
      <c r="D7" s="8"/>
      <c r="E7" s="34"/>
      <c r="F7" s="1" t="s">
        <v>208</v>
      </c>
      <c r="G7" s="2"/>
      <c r="H7" s="74" t="s">
        <v>73</v>
      </c>
      <c r="I7" s="20"/>
    </row>
    <row r="8" spans="1:9" ht="12" thickBot="1">
      <c r="A8" s="40"/>
      <c r="B8" s="13" t="s">
        <v>2</v>
      </c>
      <c r="C8" s="42">
        <f>Summary!C10</f>
        <v>0</v>
      </c>
      <c r="D8" s="8"/>
      <c r="E8" s="70"/>
      <c r="F8" s="23" t="s">
        <v>9</v>
      </c>
      <c r="G8" s="24">
        <v>125</v>
      </c>
      <c r="H8" s="59" t="s">
        <v>0</v>
      </c>
      <c r="I8" s="20"/>
    </row>
    <row r="9" spans="1:9" ht="12" thickBot="1">
      <c r="A9" s="48"/>
      <c r="B9" s="8"/>
      <c r="C9" s="8"/>
      <c r="D9" s="8"/>
      <c r="E9" s="33" t="s">
        <v>97</v>
      </c>
      <c r="F9" s="23" t="s">
        <v>50</v>
      </c>
      <c r="G9" s="24">
        <v>17.5</v>
      </c>
      <c r="H9" s="59" t="s">
        <v>0</v>
      </c>
      <c r="I9" s="20"/>
    </row>
    <row r="10" spans="1:9" ht="11.25">
      <c r="A10" s="39" t="s">
        <v>92</v>
      </c>
      <c r="B10" s="109" t="s">
        <v>39</v>
      </c>
      <c r="C10" s="119"/>
      <c r="D10" s="8"/>
      <c r="E10" s="33"/>
      <c r="F10" s="23" t="s">
        <v>51</v>
      </c>
      <c r="G10" s="24">
        <v>7.5</v>
      </c>
      <c r="H10" s="59" t="s">
        <v>0</v>
      </c>
      <c r="I10" s="20"/>
    </row>
    <row r="11" spans="1:9" ht="11.25">
      <c r="A11" s="33"/>
      <c r="B11" s="111" t="s">
        <v>149</v>
      </c>
      <c r="C11" s="112">
        <f>PRODUCT(G7:G8)/1000000</f>
        <v>0.000125</v>
      </c>
      <c r="D11" s="8"/>
      <c r="E11" s="33" t="s">
        <v>98</v>
      </c>
      <c r="F11" s="23" t="s">
        <v>75</v>
      </c>
      <c r="G11" s="24">
        <v>0.1</v>
      </c>
      <c r="H11" s="59" t="s">
        <v>0</v>
      </c>
      <c r="I11" s="20"/>
    </row>
    <row r="12" spans="1:9" ht="11.25">
      <c r="A12" s="33" t="s">
        <v>93</v>
      </c>
      <c r="B12" s="113"/>
      <c r="C12" s="120"/>
      <c r="D12" s="8"/>
      <c r="E12" s="33"/>
      <c r="F12" s="23" t="s">
        <v>55</v>
      </c>
      <c r="G12" s="24">
        <v>0.025</v>
      </c>
      <c r="H12" s="59" t="s">
        <v>0</v>
      </c>
      <c r="I12" s="20"/>
    </row>
    <row r="13" spans="1:9" ht="11.25">
      <c r="A13" s="33"/>
      <c r="B13" s="114" t="s">
        <v>18</v>
      </c>
      <c r="C13" s="115"/>
      <c r="D13" s="8"/>
      <c r="E13" s="33" t="s">
        <v>99</v>
      </c>
      <c r="F13" s="23" t="s">
        <v>56</v>
      </c>
      <c r="G13" s="24">
        <v>0.1</v>
      </c>
      <c r="H13" s="59" t="s">
        <v>0</v>
      </c>
      <c r="I13" s="20"/>
    </row>
    <row r="14" spans="1:9" ht="11.25">
      <c r="A14" s="33" t="s">
        <v>73</v>
      </c>
      <c r="B14" s="111" t="s">
        <v>146</v>
      </c>
      <c r="C14" s="112">
        <f>PRODUCT(C11,1000000)/G15/G18</f>
        <v>0.5870611717740933</v>
      </c>
      <c r="D14" s="8"/>
      <c r="E14" s="33"/>
      <c r="F14" s="23" t="s">
        <v>57</v>
      </c>
      <c r="G14" s="24">
        <v>0.5</v>
      </c>
      <c r="H14" s="59" t="s">
        <v>0</v>
      </c>
      <c r="I14" s="20"/>
    </row>
    <row r="15" spans="1:9" ht="11.25">
      <c r="A15" s="33"/>
      <c r="B15" s="111" t="s">
        <v>147</v>
      </c>
      <c r="C15" s="112">
        <f>PRODUCT(C11,1000000)/G16/G18</f>
        <v>0.14589169000933616</v>
      </c>
      <c r="D15" s="8"/>
      <c r="E15" s="33" t="s">
        <v>94</v>
      </c>
      <c r="F15" s="23" t="s">
        <v>170</v>
      </c>
      <c r="G15" s="63">
        <f>PRODUCT(G11,(SUM(G9,G12,G12)),(SUM(G10,G12,G12)))-PRODUCT(G9:G11)</f>
        <v>0.1252500000000012</v>
      </c>
      <c r="H15" s="59" t="s">
        <v>74</v>
      </c>
      <c r="I15" s="20"/>
    </row>
    <row r="16" spans="1:9" ht="11.25">
      <c r="A16" s="33" t="s">
        <v>94</v>
      </c>
      <c r="B16" s="111" t="s">
        <v>148</v>
      </c>
      <c r="C16" s="112">
        <f>PRODUCT(C11,1000000)/G17/G18</f>
        <v>0.028280542986425326</v>
      </c>
      <c r="D16" s="8"/>
      <c r="E16" s="33"/>
      <c r="F16" s="23" t="s">
        <v>58</v>
      </c>
      <c r="G16" s="63">
        <f>PRODUCT(G11,(SUM(G9,G13,G13)),(SUM(G10,G13,G13)))-PRODUCT(G9:G11)</f>
        <v>0.5040000000000031</v>
      </c>
      <c r="H16" s="59" t="s">
        <v>74</v>
      </c>
      <c r="I16" s="20"/>
    </row>
    <row r="17" spans="1:9" ht="11.25">
      <c r="A17" s="33"/>
      <c r="B17" s="113"/>
      <c r="C17" s="116"/>
      <c r="D17" s="8"/>
      <c r="E17" s="33" t="s">
        <v>96</v>
      </c>
      <c r="F17" s="23" t="s">
        <v>59</v>
      </c>
      <c r="G17" s="63">
        <f>PRODUCT(G11,(SUM(G9,G14,G14)),(SUM(G10,G14,G14)))-PRODUCT(G9:G11)</f>
        <v>2.6000000000000014</v>
      </c>
      <c r="H17" s="59" t="s">
        <v>74</v>
      </c>
      <c r="I17" s="20"/>
    </row>
    <row r="18" spans="1:9" ht="11.25">
      <c r="A18" s="33" t="s">
        <v>95</v>
      </c>
      <c r="B18" s="113"/>
      <c r="C18" s="116"/>
      <c r="D18" s="8"/>
      <c r="E18" s="70"/>
      <c r="F18" s="23" t="s">
        <v>7</v>
      </c>
      <c r="G18" s="24">
        <v>1700</v>
      </c>
      <c r="H18" s="59" t="s">
        <v>0</v>
      </c>
      <c r="I18" s="20"/>
    </row>
    <row r="19" spans="1:9" ht="12" thickBot="1">
      <c r="A19" s="33"/>
      <c r="B19" s="113"/>
      <c r="C19" s="116"/>
      <c r="D19" s="8"/>
      <c r="E19" s="40"/>
      <c r="F19" s="25" t="s">
        <v>145</v>
      </c>
      <c r="G19" s="26">
        <v>7300</v>
      </c>
      <c r="H19" s="64" t="s">
        <v>0</v>
      </c>
      <c r="I19" s="20"/>
    </row>
    <row r="20" spans="1:9" ht="11.25">
      <c r="A20" s="33" t="s">
        <v>96</v>
      </c>
      <c r="B20" s="113"/>
      <c r="C20" s="116"/>
      <c r="D20" s="8"/>
      <c r="E20" s="69"/>
      <c r="F20" s="8"/>
      <c r="G20" s="8"/>
      <c r="H20" s="8"/>
      <c r="I20" s="20"/>
    </row>
    <row r="21" spans="1:9" ht="11.25">
      <c r="A21" s="33"/>
      <c r="B21" s="113"/>
      <c r="C21" s="116"/>
      <c r="D21" s="8"/>
      <c r="E21" s="69"/>
      <c r="F21" s="8"/>
      <c r="G21" s="8"/>
      <c r="H21" s="8"/>
      <c r="I21" s="20"/>
    </row>
    <row r="22" spans="1:9" ht="12" thickBot="1">
      <c r="A22" s="40" t="s">
        <v>73</v>
      </c>
      <c r="B22" s="117"/>
      <c r="C22" s="118"/>
      <c r="D22" s="8"/>
      <c r="E22" s="68"/>
      <c r="F22" s="8"/>
      <c r="G22" s="8"/>
      <c r="H22" s="8"/>
      <c r="I22" s="20"/>
    </row>
    <row r="23" spans="1:9" ht="11.25">
      <c r="A23" s="48"/>
      <c r="B23" s="8"/>
      <c r="C23" s="8"/>
      <c r="D23" s="8"/>
      <c r="E23" s="8"/>
      <c r="F23" s="8"/>
      <c r="G23" s="8"/>
      <c r="H23" s="8"/>
      <c r="I23" s="20"/>
    </row>
    <row r="24" spans="1:9" ht="11.25">
      <c r="A24" s="18"/>
      <c r="B24" s="8"/>
      <c r="C24" s="8"/>
      <c r="D24" s="8"/>
      <c r="E24" s="8"/>
      <c r="F24" s="8"/>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C8" sqref="C8"/>
    </sheetView>
  </sheetViews>
  <sheetFormatPr defaultColWidth="8.796875" defaultRowHeight="14.25"/>
  <cols>
    <col min="1" max="1" width="4.59765625" style="46" customWidth="1"/>
    <col min="2" max="2" width="32.5" style="46" customWidth="1"/>
    <col min="3" max="3" width="9" style="46" bestFit="1" customWidth="1"/>
    <col min="4" max="4" width="2.8984375" style="46" customWidth="1"/>
    <col min="5" max="5" width="4.5" style="46" customWidth="1"/>
    <col min="6" max="6" width="30.3984375" style="46" customWidth="1"/>
    <col min="7" max="7" width="7.8984375" style="46" customWidth="1"/>
    <col min="8" max="8" width="3.09765625" style="46" bestFit="1" customWidth="1"/>
    <col min="9" max="9" width="6.59765625" style="46" customWidth="1"/>
    <col min="10" max="16384" width="8.8984375" style="46" customWidth="1"/>
  </cols>
  <sheetData>
    <row r="1" spans="1:9" ht="12.75">
      <c r="A1" s="142"/>
      <c r="B1" s="143" t="s">
        <v>121</v>
      </c>
      <c r="C1" s="144"/>
      <c r="D1" s="144"/>
      <c r="E1" s="144"/>
      <c r="F1" s="144"/>
      <c r="G1" s="144"/>
      <c r="H1" s="144"/>
      <c r="I1" s="145"/>
    </row>
    <row r="2" spans="1:9" ht="12.75">
      <c r="A2" s="146"/>
      <c r="B2" s="135" t="s">
        <v>127</v>
      </c>
      <c r="C2" s="154" t="s">
        <v>46</v>
      </c>
      <c r="D2" s="138"/>
      <c r="E2" s="138"/>
      <c r="F2" s="138"/>
      <c r="G2" s="138"/>
      <c r="H2" s="138"/>
      <c r="I2" s="147"/>
    </row>
    <row r="3" spans="1:9" ht="12.75">
      <c r="A3" s="146"/>
      <c r="B3" s="135" t="s">
        <v>122</v>
      </c>
      <c r="C3" s="137">
        <f>Summary!C5</f>
        <v>0</v>
      </c>
      <c r="D3" s="138"/>
      <c r="E3" s="138"/>
      <c r="F3" s="138"/>
      <c r="G3" s="138"/>
      <c r="H3" s="138"/>
      <c r="I3" s="147"/>
    </row>
    <row r="4" spans="1:9" ht="12.75">
      <c r="A4" s="148"/>
      <c r="B4" s="136" t="s">
        <v>123</v>
      </c>
      <c r="C4" s="137">
        <f>Summary!C6</f>
        <v>0</v>
      </c>
      <c r="D4" s="139"/>
      <c r="E4" s="139"/>
      <c r="F4" s="139"/>
      <c r="G4" s="139"/>
      <c r="H4" s="139"/>
      <c r="I4" s="149"/>
    </row>
    <row r="5" spans="1:9" s="67" customFormat="1" ht="12.75">
      <c r="A5" s="148"/>
      <c r="B5" s="136" t="s">
        <v>125</v>
      </c>
      <c r="C5" s="137">
        <f>Summary!C7</f>
        <v>0</v>
      </c>
      <c r="D5" s="139"/>
      <c r="E5" s="139"/>
      <c r="F5" s="139"/>
      <c r="G5" s="139"/>
      <c r="H5" s="139"/>
      <c r="I5" s="149"/>
    </row>
    <row r="6" spans="1:9" s="67" customFormat="1" ht="7.5" thickBot="1">
      <c r="A6" s="11"/>
      <c r="B6" s="10"/>
      <c r="C6" s="10"/>
      <c r="D6" s="10"/>
      <c r="E6" s="10"/>
      <c r="F6" s="10"/>
      <c r="G6" s="10"/>
      <c r="H6" s="10"/>
      <c r="I6" s="19"/>
    </row>
    <row r="7" spans="1:9" ht="11.25">
      <c r="A7" s="47" t="s">
        <v>103</v>
      </c>
      <c r="B7" s="12" t="s">
        <v>1</v>
      </c>
      <c r="C7" s="41">
        <f>Summary!C9</f>
        <v>0</v>
      </c>
      <c r="D7" s="8"/>
      <c r="E7" s="52"/>
      <c r="F7" s="1" t="s">
        <v>169</v>
      </c>
      <c r="G7" s="2"/>
      <c r="H7" s="74" t="s">
        <v>73</v>
      </c>
      <c r="I7" s="20"/>
    </row>
    <row r="8" spans="1:9" ht="12" thickBot="1">
      <c r="A8" s="66"/>
      <c r="B8" s="13" t="s">
        <v>2</v>
      </c>
      <c r="C8" s="42">
        <f>Summary!C10</f>
        <v>0</v>
      </c>
      <c r="D8" s="8"/>
      <c r="E8" s="48"/>
      <c r="F8" s="23" t="s">
        <v>187</v>
      </c>
      <c r="G8" s="24">
        <v>0.8</v>
      </c>
      <c r="H8" s="59" t="s">
        <v>0</v>
      </c>
      <c r="I8" s="20"/>
    </row>
    <row r="9" spans="1:9" ht="12" thickBot="1">
      <c r="A9" s="48"/>
      <c r="B9" s="8"/>
      <c r="C9" s="8"/>
      <c r="D9" s="8"/>
      <c r="E9" s="48" t="s">
        <v>97</v>
      </c>
      <c r="F9" s="23" t="s">
        <v>52</v>
      </c>
      <c r="G9" s="24">
        <v>0.1</v>
      </c>
      <c r="H9" s="59" t="s">
        <v>0</v>
      </c>
      <c r="I9" s="20"/>
    </row>
    <row r="10" spans="1:9" ht="11.25">
      <c r="A10" s="47" t="s">
        <v>92</v>
      </c>
      <c r="B10" s="109" t="s">
        <v>25</v>
      </c>
      <c r="C10" s="110"/>
      <c r="D10" s="8"/>
      <c r="E10" s="48"/>
      <c r="F10" s="23" t="s">
        <v>53</v>
      </c>
      <c r="G10" s="24">
        <v>0.1</v>
      </c>
      <c r="H10" s="59" t="s">
        <v>0</v>
      </c>
      <c r="I10" s="20"/>
    </row>
    <row r="11" spans="1:9" ht="11.25">
      <c r="A11" s="48"/>
      <c r="B11" s="111" t="s">
        <v>36</v>
      </c>
      <c r="C11" s="121">
        <f>PRODUCT(G7:G8)/1000000</f>
        <v>8.000000000000001E-07</v>
      </c>
      <c r="D11" s="8"/>
      <c r="E11" s="48" t="s">
        <v>98</v>
      </c>
      <c r="F11" s="23" t="s">
        <v>60</v>
      </c>
      <c r="G11" s="24">
        <v>0.5</v>
      </c>
      <c r="H11" s="59" t="s">
        <v>0</v>
      </c>
      <c r="I11" s="20"/>
    </row>
    <row r="12" spans="1:9" ht="11.25">
      <c r="A12" s="48" t="s">
        <v>93</v>
      </c>
      <c r="B12" s="113"/>
      <c r="C12" s="120"/>
      <c r="D12" s="8"/>
      <c r="E12" s="48"/>
      <c r="F12" s="23" t="s">
        <v>55</v>
      </c>
      <c r="G12" s="24">
        <v>0.025</v>
      </c>
      <c r="H12" s="59" t="s">
        <v>0</v>
      </c>
      <c r="I12" s="20"/>
    </row>
    <row r="13" spans="1:9" ht="11.25">
      <c r="A13" s="48"/>
      <c r="B13" s="114" t="s">
        <v>18</v>
      </c>
      <c r="C13" s="115"/>
      <c r="D13" s="8"/>
      <c r="E13" s="48" t="s">
        <v>99</v>
      </c>
      <c r="F13" s="23" t="s">
        <v>56</v>
      </c>
      <c r="G13" s="24">
        <v>0.1</v>
      </c>
      <c r="H13" s="59" t="s">
        <v>0</v>
      </c>
      <c r="I13" s="20"/>
    </row>
    <row r="14" spans="1:9" ht="11.25">
      <c r="A14" s="48" t="s">
        <v>73</v>
      </c>
      <c r="B14" s="111" t="s">
        <v>104</v>
      </c>
      <c r="C14" s="112">
        <f>PRODUCT(C11,1000000)/G15/G18</f>
        <v>0.055363321799307974</v>
      </c>
      <c r="D14" s="8"/>
      <c r="E14" s="48"/>
      <c r="F14" s="23" t="s">
        <v>57</v>
      </c>
      <c r="G14" s="24">
        <v>0.5</v>
      </c>
      <c r="H14" s="59" t="s">
        <v>0</v>
      </c>
      <c r="I14" s="20"/>
    </row>
    <row r="15" spans="1:9" ht="11.25">
      <c r="A15" s="48"/>
      <c r="B15" s="111" t="s">
        <v>105</v>
      </c>
      <c r="C15" s="112">
        <f>PRODUCT(C11,1000000)/G16/G18</f>
        <v>0.009603841536614643</v>
      </c>
      <c r="D15" s="8"/>
      <c r="E15" s="48" t="s">
        <v>94</v>
      </c>
      <c r="F15" s="23" t="s">
        <v>170</v>
      </c>
      <c r="G15" s="24">
        <f>PRODUCT((SUM(G11,G20)),(SUM(G9,G12,G12)),(SUM(G10,G12,G12)))-PRODUCT(G9:G11)</f>
        <v>0.008499999999999999</v>
      </c>
      <c r="H15" s="59" t="s">
        <v>74</v>
      </c>
      <c r="I15" s="20"/>
    </row>
    <row r="16" spans="1:9" ht="11.25">
      <c r="A16" s="48" t="s">
        <v>94</v>
      </c>
      <c r="B16" s="111" t="s">
        <v>106</v>
      </c>
      <c r="C16" s="112">
        <f>PRODUCT(C11,1000000)/G17/G18</f>
        <v>0.0006526882597699274</v>
      </c>
      <c r="D16" s="8"/>
      <c r="E16" s="48"/>
      <c r="F16" s="23" t="s">
        <v>58</v>
      </c>
      <c r="G16" s="24">
        <f>PRODUCT((SUM(G11,G20)),(SUM(G9,G13,G13)),(SUM(G10,G13,G13)))-PRODUCT(G9:G11)</f>
        <v>0.049000000000000016</v>
      </c>
      <c r="H16" s="59" t="s">
        <v>74</v>
      </c>
      <c r="I16" s="20"/>
    </row>
    <row r="17" spans="1:9" ht="11.25">
      <c r="A17" s="48"/>
      <c r="B17" s="113"/>
      <c r="C17" s="120"/>
      <c r="D17" s="8"/>
      <c r="E17" s="48" t="s">
        <v>96</v>
      </c>
      <c r="F17" s="23" t="s">
        <v>59</v>
      </c>
      <c r="G17" s="24">
        <f>PRODUCT((SUM(G11,G20)),(SUM(G9,G14,G14)),(SUM(G10,G14,G14)))-PRODUCT(G9:G11)</f>
        <v>0.7210000000000001</v>
      </c>
      <c r="H17" s="59" t="s">
        <v>74</v>
      </c>
      <c r="I17" s="20"/>
    </row>
    <row r="18" spans="1:9" ht="11.25">
      <c r="A18" s="48" t="s">
        <v>95</v>
      </c>
      <c r="B18" s="113"/>
      <c r="C18" s="120"/>
      <c r="D18" s="8"/>
      <c r="E18" s="18"/>
      <c r="F18" s="23" t="s">
        <v>7</v>
      </c>
      <c r="G18" s="24">
        <v>1700</v>
      </c>
      <c r="H18" s="59" t="s">
        <v>0</v>
      </c>
      <c r="I18" s="20"/>
    </row>
    <row r="19" spans="1:9" ht="11.25">
      <c r="A19" s="48"/>
      <c r="B19" s="113"/>
      <c r="C19" s="120"/>
      <c r="D19" s="8"/>
      <c r="E19" s="48"/>
      <c r="F19" s="23" t="s">
        <v>35</v>
      </c>
      <c r="G19" s="24">
        <v>30</v>
      </c>
      <c r="H19" s="59" t="s">
        <v>0</v>
      </c>
      <c r="I19" s="20"/>
    </row>
    <row r="20" spans="1:9" ht="12" thickBot="1">
      <c r="A20" s="48" t="s">
        <v>96</v>
      </c>
      <c r="B20" s="113"/>
      <c r="C20" s="120"/>
      <c r="D20" s="8"/>
      <c r="E20" s="66"/>
      <c r="F20" s="25" t="s">
        <v>184</v>
      </c>
      <c r="G20" s="26">
        <v>0.1</v>
      </c>
      <c r="H20" s="64" t="s">
        <v>0</v>
      </c>
      <c r="I20" s="20"/>
    </row>
    <row r="21" spans="1:9" ht="11.25">
      <c r="A21" s="48"/>
      <c r="B21" s="113"/>
      <c r="C21" s="120"/>
      <c r="D21" s="8"/>
      <c r="E21" s="69"/>
      <c r="F21" s="8"/>
      <c r="G21" s="8"/>
      <c r="H21" s="8"/>
      <c r="I21" s="20"/>
    </row>
    <row r="22" spans="1:9" ht="12" thickBot="1">
      <c r="A22" s="66" t="s">
        <v>73</v>
      </c>
      <c r="B22" s="117"/>
      <c r="C22" s="122"/>
      <c r="D22" s="8"/>
      <c r="E22" s="68"/>
      <c r="F22" s="8"/>
      <c r="G22" s="8"/>
      <c r="H22" s="8"/>
      <c r="I22" s="20"/>
    </row>
    <row r="23" spans="1:9" ht="11.25">
      <c r="A23" s="48"/>
      <c r="B23" s="8"/>
      <c r="C23" s="8"/>
      <c r="D23" s="8"/>
      <c r="E23" s="8"/>
      <c r="F23" s="108"/>
      <c r="G23" s="8"/>
      <c r="H23" s="8"/>
      <c r="I23" s="20"/>
    </row>
    <row r="24" spans="1:9" ht="11.25">
      <c r="A24" s="18"/>
      <c r="B24" s="8"/>
      <c r="C24" s="8"/>
      <c r="D24" s="8"/>
      <c r="E24" s="8"/>
      <c r="F24" s="8"/>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50"/>
      <c r="B29" s="150"/>
      <c r="C29" s="150"/>
      <c r="D29" s="150"/>
      <c r="E29" s="150"/>
      <c r="F29" s="150"/>
      <c r="G29" s="150"/>
      <c r="H29" s="150"/>
      <c r="I29" s="150"/>
    </row>
    <row r="30" spans="1:9" ht="11.25">
      <c r="A30" s="150"/>
      <c r="B30" s="150"/>
      <c r="C30" s="150"/>
      <c r="D30" s="150"/>
      <c r="E30" s="150"/>
      <c r="F30" s="150"/>
      <c r="G30" s="150"/>
      <c r="H30" s="150"/>
      <c r="I30" s="150"/>
    </row>
    <row r="31" spans="1:9" ht="11.25">
      <c r="A31" s="150"/>
      <c r="B31" s="150"/>
      <c r="C31" s="150"/>
      <c r="D31" s="150"/>
      <c r="E31" s="150"/>
      <c r="F31" s="150"/>
      <c r="G31" s="150"/>
      <c r="H31" s="150"/>
      <c r="I31" s="150"/>
    </row>
    <row r="32" spans="1:9" ht="11.25">
      <c r="A32" s="150"/>
      <c r="B32" s="150"/>
      <c r="C32" s="150"/>
      <c r="D32" s="150"/>
      <c r="E32" s="150"/>
      <c r="F32" s="150"/>
      <c r="G32" s="150"/>
      <c r="H32" s="150"/>
      <c r="I32" s="150"/>
    </row>
    <row r="33" spans="1:9" ht="11.25">
      <c r="A33" s="150"/>
      <c r="B33" s="150"/>
      <c r="C33" s="150"/>
      <c r="D33" s="150"/>
      <c r="E33" s="150"/>
      <c r="F33" s="150"/>
      <c r="G33" s="150"/>
      <c r="H33" s="150"/>
      <c r="I33" s="150"/>
    </row>
    <row r="34" spans="1:9" ht="11.25">
      <c r="A34" s="150"/>
      <c r="B34" s="150"/>
      <c r="C34" s="150"/>
      <c r="D34" s="150"/>
      <c r="E34" s="150"/>
      <c r="F34" s="150"/>
      <c r="G34" s="150"/>
      <c r="H34" s="150"/>
      <c r="I34" s="150"/>
    </row>
    <row r="35" spans="1:9" ht="11.25">
      <c r="A35" s="150"/>
      <c r="B35" s="150"/>
      <c r="C35" s="150"/>
      <c r="D35" s="150"/>
      <c r="E35" s="150"/>
      <c r="F35" s="150"/>
      <c r="G35" s="150"/>
      <c r="H35" s="150"/>
      <c r="I35" s="150"/>
    </row>
    <row r="36" spans="1:9" ht="11.25">
      <c r="A36" s="150"/>
      <c r="B36" s="150"/>
      <c r="C36" s="150"/>
      <c r="D36" s="150"/>
      <c r="E36" s="150"/>
      <c r="F36" s="150"/>
      <c r="G36" s="150"/>
      <c r="H36" s="150"/>
      <c r="I36" s="150"/>
    </row>
    <row r="37" spans="1:9" ht="11.25">
      <c r="A37" s="150"/>
      <c r="B37" s="150"/>
      <c r="C37" s="150"/>
      <c r="D37" s="150"/>
      <c r="E37" s="150"/>
      <c r="F37" s="150"/>
      <c r="G37" s="150"/>
      <c r="H37" s="150"/>
      <c r="I37" s="150"/>
    </row>
    <row r="38" spans="1:9" ht="11.25">
      <c r="A38" s="150"/>
      <c r="B38" s="150"/>
      <c r="C38" s="150"/>
      <c r="D38" s="150"/>
      <c r="E38" s="150"/>
      <c r="F38" s="150"/>
      <c r="G38" s="150"/>
      <c r="H38" s="150"/>
      <c r="I38" s="150"/>
    </row>
    <row r="39" spans="1:9" ht="11.25">
      <c r="A39" s="150"/>
      <c r="B39" s="150"/>
      <c r="C39" s="150"/>
      <c r="D39" s="150"/>
      <c r="E39" s="150"/>
      <c r="F39" s="150"/>
      <c r="G39" s="150"/>
      <c r="H39" s="150"/>
      <c r="I39" s="150"/>
    </row>
    <row r="40" spans="1:9" ht="11.25">
      <c r="A40" s="150"/>
      <c r="B40" s="150"/>
      <c r="C40" s="150"/>
      <c r="D40" s="150"/>
      <c r="E40" s="150"/>
      <c r="F40" s="150"/>
      <c r="G40" s="150"/>
      <c r="H40" s="150"/>
      <c r="I40" s="150"/>
    </row>
    <row r="41" spans="1:9" ht="11.25">
      <c r="A41" s="150"/>
      <c r="B41" s="150"/>
      <c r="C41" s="150"/>
      <c r="D41" s="150"/>
      <c r="E41" s="150"/>
      <c r="F41" s="150"/>
      <c r="G41" s="150"/>
      <c r="H41" s="150"/>
      <c r="I41" s="150"/>
    </row>
    <row r="42" spans="1:9" ht="11.25">
      <c r="A42" s="150"/>
      <c r="B42" s="150"/>
      <c r="C42" s="150"/>
      <c r="D42" s="150"/>
      <c r="E42" s="150"/>
      <c r="F42" s="150"/>
      <c r="G42" s="150"/>
      <c r="H42" s="150"/>
      <c r="I42" s="150"/>
    </row>
    <row r="43" spans="1:9" ht="11.25">
      <c r="A43" s="150"/>
      <c r="B43" s="150"/>
      <c r="C43" s="150"/>
      <c r="D43" s="150"/>
      <c r="E43" s="150"/>
      <c r="F43" s="150"/>
      <c r="G43" s="150"/>
      <c r="H43" s="150"/>
      <c r="I43" s="150"/>
    </row>
    <row r="44" spans="1:9" ht="11.25">
      <c r="A44" s="150"/>
      <c r="B44" s="150"/>
      <c r="C44" s="150"/>
      <c r="D44" s="150"/>
      <c r="E44" s="150"/>
      <c r="F44" s="150"/>
      <c r="G44" s="150"/>
      <c r="H44" s="150"/>
      <c r="I44" s="150"/>
    </row>
    <row r="45" spans="1:9" ht="11.25">
      <c r="A45" s="150"/>
      <c r="B45" s="150"/>
      <c r="C45" s="150"/>
      <c r="D45" s="150"/>
      <c r="E45" s="150"/>
      <c r="F45" s="150"/>
      <c r="G45" s="150"/>
      <c r="H45" s="150"/>
      <c r="I45" s="150"/>
    </row>
    <row r="46" spans="1:9" ht="11.25">
      <c r="A46" s="150"/>
      <c r="B46" s="150"/>
      <c r="C46" s="150"/>
      <c r="D46" s="150"/>
      <c r="E46" s="150"/>
      <c r="F46" s="150"/>
      <c r="G46" s="150"/>
      <c r="H46" s="150"/>
      <c r="I46" s="150"/>
    </row>
    <row r="47" spans="1:9" ht="11.25">
      <c r="A47" s="150"/>
      <c r="B47" s="150"/>
      <c r="C47" s="150"/>
      <c r="D47" s="150"/>
      <c r="E47" s="150"/>
      <c r="F47" s="150"/>
      <c r="G47" s="150"/>
      <c r="H47" s="150"/>
      <c r="I47" s="150"/>
    </row>
    <row r="48" spans="1:9" ht="11.25">
      <c r="A48" s="150"/>
      <c r="B48" s="150"/>
      <c r="C48" s="150"/>
      <c r="D48" s="150"/>
      <c r="E48" s="150"/>
      <c r="F48" s="150"/>
      <c r="G48" s="150"/>
      <c r="H48" s="150"/>
      <c r="I48" s="150"/>
    </row>
    <row r="49" spans="1:9" ht="11.25">
      <c r="A49" s="150"/>
      <c r="B49" s="150"/>
      <c r="C49" s="150"/>
      <c r="D49" s="150"/>
      <c r="E49" s="150"/>
      <c r="F49" s="150"/>
      <c r="G49" s="150"/>
      <c r="H49" s="150"/>
      <c r="I49" s="150"/>
    </row>
    <row r="50" spans="1:9" ht="11.25">
      <c r="A50" s="150"/>
      <c r="B50" s="150"/>
      <c r="C50" s="150"/>
      <c r="D50" s="150"/>
      <c r="E50" s="150"/>
      <c r="F50" s="150"/>
      <c r="G50" s="150"/>
      <c r="H50" s="150"/>
      <c r="I50" s="150"/>
    </row>
    <row r="51" spans="1:9" ht="11.25">
      <c r="A51" s="150"/>
      <c r="B51" s="150"/>
      <c r="C51" s="150"/>
      <c r="D51" s="150"/>
      <c r="E51" s="150"/>
      <c r="F51" s="150"/>
      <c r="G51" s="150"/>
      <c r="H51" s="150"/>
      <c r="I51" s="150"/>
    </row>
    <row r="52" spans="1:9" ht="11.25">
      <c r="A52" s="150"/>
      <c r="B52" s="150"/>
      <c r="C52" s="150"/>
      <c r="D52" s="150"/>
      <c r="E52" s="150"/>
      <c r="F52" s="150"/>
      <c r="G52" s="150"/>
      <c r="H52" s="150"/>
      <c r="I52" s="150"/>
    </row>
    <row r="53" spans="1:9" ht="11.25">
      <c r="A53" s="150"/>
      <c r="B53" s="150"/>
      <c r="C53" s="150"/>
      <c r="D53" s="150"/>
      <c r="E53" s="150"/>
      <c r="F53" s="150"/>
      <c r="G53" s="150"/>
      <c r="H53" s="150"/>
      <c r="I53" s="150"/>
    </row>
    <row r="54" spans="1:9" ht="11.25">
      <c r="A54" s="150"/>
      <c r="B54" s="150"/>
      <c r="C54" s="150"/>
      <c r="D54" s="150"/>
      <c r="E54" s="150"/>
      <c r="F54" s="150"/>
      <c r="G54" s="150"/>
      <c r="H54" s="150"/>
      <c r="I54" s="150"/>
    </row>
    <row r="55" spans="1:9" ht="11.25">
      <c r="A55" s="150"/>
      <c r="B55" s="150"/>
      <c r="C55" s="150"/>
      <c r="D55" s="150"/>
      <c r="E55" s="150"/>
      <c r="F55" s="150"/>
      <c r="G55" s="150"/>
      <c r="H55" s="150"/>
      <c r="I55" s="150"/>
    </row>
    <row r="56" spans="1:9" ht="11.25">
      <c r="A56" s="150"/>
      <c r="B56" s="150"/>
      <c r="C56" s="150"/>
      <c r="D56" s="150"/>
      <c r="E56" s="150"/>
      <c r="F56" s="150"/>
      <c r="G56" s="150"/>
      <c r="H56" s="150"/>
      <c r="I56" s="150"/>
    </row>
    <row r="57" spans="1:9" ht="11.25">
      <c r="A57" s="150"/>
      <c r="B57" s="150"/>
      <c r="C57" s="150"/>
      <c r="D57" s="150"/>
      <c r="E57" s="150"/>
      <c r="F57" s="150"/>
      <c r="G57" s="150"/>
      <c r="H57" s="150"/>
      <c r="I57" s="150"/>
    </row>
    <row r="58" spans="1:9" ht="11.25">
      <c r="A58" s="150"/>
      <c r="B58" s="150"/>
      <c r="C58" s="150"/>
      <c r="D58" s="150"/>
      <c r="E58" s="150"/>
      <c r="F58" s="150"/>
      <c r="G58" s="150"/>
      <c r="H58" s="150"/>
      <c r="I58" s="150"/>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HASKONING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jeram</cp:lastModifiedBy>
  <cp:lastPrinted>2003-10-16T09:16:21Z</cp:lastPrinted>
  <dcterms:created xsi:type="dcterms:W3CDTF">2002-09-27T12:31:29Z</dcterms:created>
  <dcterms:modified xsi:type="dcterms:W3CDTF">2004-04-26T08:25:22Z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_AdHocReviewCycle">
    <vt:i4>-200435976</vt:i4>
  </property>
  <property fmtid="{D5CDD505-2E9C-101B-9397-08002B2CF9AE}" pid="4" name="_EmailSubje">
    <vt:lpwstr>Replacement of document</vt:lpwstr>
  </property>
  <property fmtid="{D5CDD505-2E9C-101B-9397-08002B2CF9AE}" pid="5" name="_AuthorEma">
    <vt:lpwstr>sonja.jeram@jrc.it</vt:lpwstr>
  </property>
  <property fmtid="{D5CDD505-2E9C-101B-9397-08002B2CF9AE}" pid="6" name="_AuthorEmailDisplayNa">
    <vt:lpwstr>Sonja Jeram</vt:lpwstr>
  </property>
</Properties>
</file>