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08 Teams/07_ENV-EXPO/04_Models/03_Model prep/ESDs_Excel/ESDs ECHA/01 Published/"/>
    </mc:Choice>
  </mc:AlternateContent>
  <xr:revisionPtr revIDLastSave="0" documentId="13_ncr:1_{15A60991-6C1D-4C92-9A3C-BB7A017841A8}" xr6:coauthVersionLast="47" xr6:coauthVersionMax="47" xr10:uidLastSave="{00000000-0000-0000-0000-000000000000}"/>
  <bookViews>
    <workbookView xWindow="-28920" yWindow="-120" windowWidth="29040" windowHeight="16440" tabRatio="823" xr2:uid="{00000000-000D-0000-FFFF-FFFF00000000}"/>
  </bookViews>
  <sheets>
    <sheet name="Introduction" sheetId="26" r:id="rId1"/>
    <sheet name="Index" sheetId="25" r:id="rId2"/>
    <sheet name="PT 3 - animal housing" sheetId="59" r:id="rId3"/>
    <sheet name="PT 3 - transport" sheetId="52" r:id="rId4"/>
    <sheet name="PT 3-vet hyg non med teat dip" sheetId="61" r:id="rId5"/>
    <sheet name="PT 3 - vet hyg footwear" sheetId="60" r:id="rId6"/>
    <sheet name="PT 3 - dipping bath for tools" sheetId="65" r:id="rId7"/>
    <sheet name="PT 3-vet hyg animal's feet" sheetId="66" r:id="rId8"/>
    <sheet name="PT 3 - hatcheries" sheetId="67" r:id="rId9"/>
    <sheet name="Pick-lists &amp; Defaults" sheetId="3" r:id="rId10"/>
  </sheets>
  <definedNames>
    <definedName name="_xlnm._FilterDatabase" localSheetId="9" hidden="1">'Pick-lists &amp; Defaults'!#REF!</definedName>
    <definedName name="active_ingredient">'Pick-lists &amp; Defaults'!$B$216:$B$219</definedName>
    <definedName name="Air" localSheetId="2">'PT 3 - animal housing'!$B$215</definedName>
    <definedName name="app_rate" localSheetId="2">'PT 3 - animal housing'!$I$39</definedName>
    <definedName name="application" localSheetId="2">'PT 3 - animal housing'!$I$37</definedName>
    <definedName name="appway">'Pick-lists &amp; Defaults'!$B$61:$B$65</definedName>
    <definedName name="AREA_or_VOLUME">'Pick-lists &amp; Defaults'!$C$187:$C$189</definedName>
    <definedName name="AREAcont" localSheetId="3">'PT 3 - transport'!$E$22</definedName>
    <definedName name="AREAmam" localSheetId="3">'PT 3 - transport'!$E$18</definedName>
    <definedName name="AREApoul" localSheetId="3">'PT 3 - transport'!$E$20</definedName>
    <definedName name="as_content" localSheetId="2">'PT 3 - animal housing'!$I$50</definedName>
    <definedName name="as_content" localSheetId="6">'PT 3 - dipping bath for tools'!$H$42</definedName>
    <definedName name="as_content" localSheetId="5">'PT 3 - vet hyg footwear'!$H$42</definedName>
    <definedName name="as_content" localSheetId="7">'PT 3-vet hyg animal''s feet'!$H$42</definedName>
    <definedName name="as_content" localSheetId="4">'PT 3-vet hyg non med teat dip'!$H$44</definedName>
    <definedName name="Cat_1">'Pick-lists &amp; Defaults'!$B$16</definedName>
    <definedName name="Cat_10">'Pick-lists &amp; Defaults'!$B$27</definedName>
    <definedName name="Cat_11">'Pick-lists &amp; Defaults'!$B$28</definedName>
    <definedName name="Cat_12">'Pick-lists &amp; Defaults'!$B$29</definedName>
    <definedName name="Cat_13">'Pick-lists &amp; Defaults'!$B$30</definedName>
    <definedName name="Cat_14">'Pick-lists &amp; Defaults'!$B$31</definedName>
    <definedName name="Cat_15">'Pick-lists &amp; Defaults'!$B$32</definedName>
    <definedName name="Cat_16">'Pick-lists &amp; Defaults'!$B$33</definedName>
    <definedName name="Cat_17">'Pick-lists &amp; Defaults'!$B$34</definedName>
    <definedName name="Cat_18">'Pick-lists &amp; Defaults'!$B$35</definedName>
    <definedName name="Cat_19">'Pick-lists &amp; Defaults'!$B$43</definedName>
    <definedName name="Cat_2">'Pick-lists &amp; Defaults'!$B$18</definedName>
    <definedName name="Cat_20">'Pick-lists &amp; Defaults'!$B$44</definedName>
    <definedName name="Cat_3">'Pick-lists &amp; Defaults'!$B$20</definedName>
    <definedName name="Cat_4">'Pick-lists &amp; Defaults'!$B$21</definedName>
    <definedName name="Cat_5">'Pick-lists &amp; Defaults'!$B$22</definedName>
    <definedName name="Cat_6">'Pick-lists &amp; Defaults'!$B$23</definedName>
    <definedName name="Cat_7">'Pick-lists &amp; Defaults'!$B$24</definedName>
    <definedName name="Cat_8">'Pick-lists &amp; Defaults'!$B$25</definedName>
    <definedName name="Cat_9">'Pick-lists &amp; Defaults'!$B$26</definedName>
    <definedName name="cat_subcat_animal">'Pick-lists &amp; Defaults'!$B$15:$B$35</definedName>
    <definedName name="cat_subcat_m_storage">'Pick-lists &amp; Defaults'!$B$42:$B$44</definedName>
    <definedName name="Cstd_air" localSheetId="2">'PT 3 - animal housing'!$I$115</definedName>
    <definedName name="Cstd_air" localSheetId="7">'PT 3-vet hyg animal''s feet'!$H$121</definedName>
    <definedName name="Cstdair" localSheetId="3">'PT 3 - transport'!$E$36</definedName>
    <definedName name="density" localSheetId="2">'PT 3 - animal housing'!$I$52</definedName>
    <definedName name="density" localSheetId="6">'PT 3 - dipping bath for tools'!$H$44</definedName>
    <definedName name="density" localSheetId="5">'PT 3 - vet hyg footwear'!$H$44</definedName>
    <definedName name="density" localSheetId="7">'PT 3-vet hyg animal''s feet'!$H$44</definedName>
    <definedName name="density" localSheetId="4">'PT 3-vet hyg non med teat dip'!$H$46</definedName>
    <definedName name="DEPTHarable" localSheetId="2">'PT 3 - animal housing'!$I$101</definedName>
    <definedName name="DEPTHarable" localSheetId="6">'PT 3 - dipping bath for tools'!$H$105</definedName>
    <definedName name="DEPTHarable" localSheetId="5">'PT 3 - vet hyg footwear'!$H$105</definedName>
    <definedName name="DEPTHarable" localSheetId="7">'PT 3-vet hyg animal''s feet'!$H$107</definedName>
    <definedName name="DEPTHarable" localSheetId="4">'PT 3-vet hyg non med teat dip'!$H$113</definedName>
    <definedName name="DEPTHgrass" localSheetId="2">'PT 3 - animal housing'!$I$85</definedName>
    <definedName name="DEPTHgrass" localSheetId="6">'PT 3 - dipping bath for tools'!$H$89</definedName>
    <definedName name="DEPTHgrass" localSheetId="5">'PT 3 - vet hyg footwear'!$H$89</definedName>
    <definedName name="DEPTHgrass" localSheetId="7">'PT 3-vet hyg animal''s feet'!$H$91</definedName>
    <definedName name="DEPTHgrass" localSheetId="4">'PT 3-vet hyg non med teat dip'!$H$97</definedName>
    <definedName name="DILUTION" localSheetId="2">'PT 3 - animal housing'!$I$81</definedName>
    <definedName name="DILUTION" localSheetId="6">'PT 3 - dipping bath for tools'!$H$85</definedName>
    <definedName name="DILUTION" localSheetId="5">'PT 3 - vet hyg footwear'!$H$85</definedName>
    <definedName name="DILUTION" localSheetId="7">'PT 3-vet hyg animal''s feet'!$H$87</definedName>
    <definedName name="DILUTION" localSheetId="4">'PT 3-vet hyg non med teat dip'!$H$93</definedName>
    <definedName name="DT50bio_soil_ar" localSheetId="2">'PT 3 - animal housing'!$I$103</definedName>
    <definedName name="DT50bio_soil_ar" localSheetId="6">'PT 3 - dipping bath for tools'!$H$107</definedName>
    <definedName name="DT50bio_soil_ar" localSheetId="5">'PT 3 - vet hyg footwear'!$H$107</definedName>
    <definedName name="DT50bio_soil_ar" localSheetId="7">'PT 3-vet hyg animal''s feet'!$H$109</definedName>
    <definedName name="DT50bio_soil_ar" localSheetId="4">'PT 3-vet hyg non med teat dip'!$H$115</definedName>
    <definedName name="DT50bio_soil_gr" localSheetId="2">'PT 3 - animal housing'!$I$87</definedName>
    <definedName name="DT50bio_soil_gr" localSheetId="6">'PT 3 - dipping bath for tools'!$H$91</definedName>
    <definedName name="DT50bio_soil_gr" localSheetId="5">'PT 3 - vet hyg footwear'!$H$91</definedName>
    <definedName name="DT50bio_soil_gr" localSheetId="7">'PT 3-vet hyg animal''s feet'!$H$93</definedName>
    <definedName name="DT50bio_soil_gr" localSheetId="4">'PT 3-vet hyg non med teat dip'!$H$99</definedName>
    <definedName name="Edirect_air_mam" localSheetId="3">'PT 3 - transport'!$E$51</definedName>
    <definedName name="Edirect_air_poul" localSheetId="3">'PT 3 - transport'!$E$52</definedName>
    <definedName name="eggs_disinfection">'Pick-lists &amp; Defaults'!$B$204:$B$206</definedName>
    <definedName name="Emission_scenario_for_disinfectants_used_for_disinfection_of_animal_housings">'PT 3 - animal housing'!$B$4</definedName>
    <definedName name="Emission_scenario_for_disinfectants_used_for_disinfection_of_vehicles_used_for_animal_transport__ESD_§_2.2__p.19__Table_2">'PT 3 - transport'!$B$5</definedName>
    <definedName name="Emission_scenario_for_disinfectants_used_for_veterinary_hygiene__disinfection_of_footwear" localSheetId="6">'PT 3 - dipping bath for tools'!$B$5</definedName>
    <definedName name="Emission_scenario_for_disinfectants_used_for_veterinary_hygiene__disinfection_of_footwear" localSheetId="7">'PT 3-vet hyg animal''s feet'!$B$5</definedName>
    <definedName name="Emission_scenario_for_disinfectants_used_for_veterinary_hygiene__disinfection_of_footwear">'PT 3 - vet hyg footwear'!$B$5</definedName>
    <definedName name="Emission_scenario_for_disinfectants_used_for_veterinary_hygiene__disinfection_of_hatcheries" localSheetId="8">'PT 3 - hatcheries'!$B$5</definedName>
    <definedName name="Emission_scenario_for_disinfectants_used_for_veterinary_hygiene__non_medical_teat_dips">'PT 3-vet hyg non med teat dip'!$B$4</definedName>
    <definedName name="F_bioc" localSheetId="3">'PT 3 - transport'!$E$24</definedName>
    <definedName name="F_dil" localSheetId="3">'PT 3 - transport'!$E$28</definedName>
    <definedName name="Fair" localSheetId="3">'PT 3 - transport'!$E$30</definedName>
    <definedName name="Fair" localSheetId="7">'PT 3-vet hyg animal''s feet'!$H$54</definedName>
    <definedName name="Fair_fog" localSheetId="8">'PT 3 - hatcheries'!$G$74</definedName>
    <definedName name="Fair_fum" localSheetId="8">'PT 3 - hatcheries'!$G$70</definedName>
    <definedName name="Fair_spray" localSheetId="8">'PT 3 - hatcheries'!$G$78</definedName>
    <definedName name="Fbioc" localSheetId="2">'PT 3 - animal housing'!$I$54</definedName>
    <definedName name="Fbioc" localSheetId="6">'PT 3 - dipping bath for tools'!$H$46</definedName>
    <definedName name="Fbioc" localSheetId="5">'PT 3 - vet hyg footwear'!$H$46</definedName>
    <definedName name="Fbioc" localSheetId="7">'PT 3-vet hyg animal''s feet'!$H$46</definedName>
    <definedName name="Fbioc" localSheetId="4">'PT 3-vet hyg non med teat dip'!$H$48</definedName>
    <definedName name="Fdil" localSheetId="2">'PT 3 - animal housing'!$I$46</definedName>
    <definedName name="Fdil" localSheetId="6">'PT 3 - dipping bath for tools'!$H$48</definedName>
    <definedName name="Fdil" localSheetId="5">'PT 3 - vet hyg footwear'!$H$48</definedName>
    <definedName name="Fdil" localSheetId="7">'PT 3-vet hyg animal''s feet'!$H$48</definedName>
    <definedName name="Fdil" localSheetId="4">'PT 3-vet hyg non med teat dip'!$H$52</definedName>
    <definedName name="Fmanure_slurry" localSheetId="6">'PT 3 - dipping bath for tools'!$H$54</definedName>
    <definedName name="Fmanure_slurry" localSheetId="5">'PT 3 - vet hyg footwear'!$H$54</definedName>
    <definedName name="Fmanure_slurry" localSheetId="7">'PT 3-vet hyg animal''s feet'!$H$56</definedName>
    <definedName name="Fmanure_slurry" localSheetId="4">'PT 3-vet hyg non med teat dip'!$H$58</definedName>
    <definedName name="Foaming">'Pick-lists &amp; Defaults'!$B$64</definedName>
    <definedName name="Fogging">'Pick-lists &amp; Defaults'!$B$63</definedName>
    <definedName name="Fstp" localSheetId="3">'PT 3 - transport'!$E$32</definedName>
    <definedName name="Fteat" localSheetId="4">'PT 3-vet hyg non med teat dip'!$H$56</definedName>
    <definedName name="Fumigation">'Pick-lists &amp; Defaults'!$B$65</definedName>
    <definedName name="Fwastewater" localSheetId="6">'PT 3 - dipping bath for tools'!$H$55</definedName>
    <definedName name="Fwastewater" localSheetId="5">'PT 3 - vet hyg footwear'!$H$55</definedName>
    <definedName name="Fwastewater" localSheetId="7">'PT 3-vet hyg animal''s feet'!$H$57</definedName>
    <definedName name="Fwastewater" localSheetId="4">'PT 3-vet hyg non med teat dip'!$H$59</definedName>
    <definedName name="Fwater_fog" localSheetId="8">'PT 3 - hatcheries'!$G$76</definedName>
    <definedName name="Fwater_fum" localSheetId="8">'PT 3 - hatcheries'!$G$72</definedName>
    <definedName name="Fwater_spray" localSheetId="8">'PT 3 - hatcheries'!$G$80</definedName>
    <definedName name="Groundwater_and_surface_water_ar" localSheetId="2">'PT 3 - animal housing'!$B$183</definedName>
    <definedName name="Groundwater_and_surface_water_ar" localSheetId="6">'PT 3 - dipping bath for tools'!$B$163</definedName>
    <definedName name="Groundwater_and_surface_water_ar" localSheetId="5">'PT 3 - vet hyg footwear'!$B$163</definedName>
    <definedName name="Groundwater_and_surface_water_ar" localSheetId="7">'PT 3-vet hyg animal''s feet'!$B$172</definedName>
    <definedName name="Groundwater_and_surface_water_ar" localSheetId="4">'PT 3-vet hyg non med teat dip'!$B$172</definedName>
    <definedName name="Groundwater_and_surface_water_gr" localSheetId="2">'PT 3 - animal housing'!$B$207</definedName>
    <definedName name="Groundwater_and_surface_water_gr" localSheetId="6">'PT 3 - dipping bath for tools'!$B$185</definedName>
    <definedName name="Groundwater_and_surface_water_gr" localSheetId="5">'PT 3 - vet hyg footwear'!$B$185</definedName>
    <definedName name="Groundwater_and_surface_water_gr" localSheetId="7">'PT 3-vet hyg animal''s feet'!$B$194</definedName>
    <definedName name="Groundwater_and_surface_water_gr" localSheetId="4">'PT 3-vet hyg non med teat dip'!$B$194</definedName>
    <definedName name="Input" localSheetId="2">'PT 3 - animal housing'!$B$31</definedName>
    <definedName name="Input" localSheetId="6">'PT 3 - dipping bath for tools'!$B$31</definedName>
    <definedName name="Input" localSheetId="5">'PT 3 - vet hyg footwear'!$B$31</definedName>
    <definedName name="Input" localSheetId="7">'PT 3-vet hyg animal''s feet'!$B$31</definedName>
    <definedName name="Input" localSheetId="4">'PT 3-vet hyg non med teat dip'!$B$33</definedName>
    <definedName name="Intermediate_calculations" localSheetId="2">'PT 3 - animal housing'!$B$139</definedName>
    <definedName name="Intermediate_calculations" localSheetId="6">'PT 3 - dipping bath for tools'!$B$124</definedName>
    <definedName name="Intermediate_calculations" localSheetId="5">'PT 3 - vet hyg footwear'!$B$124</definedName>
    <definedName name="Intermediate_calculations" localSheetId="7">'PT 3-vet hyg animal''s feet'!$B$132</definedName>
    <definedName name="Intermediate_calculations" localSheetId="4">'PT 3-vet hyg non med teat dip'!$B$134</definedName>
    <definedName name="k_ar" localSheetId="2">'PT 3 - animal housing'!$I$111</definedName>
    <definedName name="k_ar" localSheetId="6">'PT 3 - dipping bath for tools'!$H$115</definedName>
    <definedName name="k_ar" localSheetId="5">'PT 3 - vet hyg footwear'!$H$115</definedName>
    <definedName name="k_ar" localSheetId="7">'PT 3-vet hyg animal''s feet'!$H$117</definedName>
    <definedName name="k_ar" localSheetId="4">'PT 3-vet hyg non med teat dip'!$H$123</definedName>
    <definedName name="k_gr" localSheetId="2">'PT 3 - animal housing'!$I$95</definedName>
    <definedName name="k_gr" localSheetId="6">'PT 3 - dipping bath for tools'!$H$99</definedName>
    <definedName name="k_gr" localSheetId="5">'PT 3 - vet hyg footwear'!$H$99</definedName>
    <definedName name="k_gr" localSheetId="7">'PT 3-vet hyg animal''s feet'!$H$101</definedName>
    <definedName name="k_gr" localSheetId="4">'PT 3-vet hyg non med teat dip'!$H$107</definedName>
    <definedName name="kdeg_ar" localSheetId="2">'PT 3 - animal housing'!$I$109</definedName>
    <definedName name="kdeg_ar" localSheetId="6">'PT 3 - dipping bath for tools'!$H$113</definedName>
    <definedName name="kdeg_ar" localSheetId="5">'PT 3 - vet hyg footwear'!$H$113</definedName>
    <definedName name="kdeg_ar" localSheetId="7">'PT 3-vet hyg animal''s feet'!$H$115</definedName>
    <definedName name="kdeg_ar" localSheetId="4">'PT 3-vet hyg non med teat dip'!$H$121</definedName>
    <definedName name="kdeg_gr" localSheetId="2">'PT 3 - animal housing'!$I$93</definedName>
    <definedName name="kdeg_gr" localSheetId="6">'PT 3 - dipping bath for tools'!$H$97</definedName>
    <definedName name="kdeg_gr" localSheetId="5">'PT 3 - vet hyg footwear'!$H$97</definedName>
    <definedName name="kdeg_gr" localSheetId="7">'PT 3-vet hyg animal''s feet'!$H$99</definedName>
    <definedName name="kdeg_gr" localSheetId="4">'PT 3-vet hyg non med teat dip'!$H$105</definedName>
    <definedName name="kleach_ar" localSheetId="2">'PT 3 - animal housing'!$I$107</definedName>
    <definedName name="kleach_ar" localSheetId="6">'PT 3 - dipping bath for tools'!$H$111</definedName>
    <definedName name="kleach_ar" localSheetId="5">'PT 3 - vet hyg footwear'!$H$111</definedName>
    <definedName name="kleach_ar" localSheetId="7">'PT 3-vet hyg animal''s feet'!$H$113</definedName>
    <definedName name="kleach_ar" localSheetId="4">'PT 3-vet hyg non med teat dip'!$H$119</definedName>
    <definedName name="kleach_gr" localSheetId="2">'PT 3 - animal housing'!$I$91</definedName>
    <definedName name="kleach_gr" localSheetId="6">'PT 3 - dipping bath for tools'!$H$95</definedName>
    <definedName name="kleach_gr" localSheetId="5">'PT 3 - vet hyg footwear'!$H$95</definedName>
    <definedName name="kleach_gr" localSheetId="7">'PT 3-vet hyg animal''s feet'!$H$97</definedName>
    <definedName name="kleach_gr" localSheetId="4">'PT 3-vet hyg non med teat dip'!$H$103</definedName>
    <definedName name="Kp_susp" localSheetId="2">'PT 3 - animal housing'!$I$75</definedName>
    <definedName name="Kp_susp" localSheetId="6">'PT 3 - dipping bath for tools'!$H$79</definedName>
    <definedName name="Kp_susp" localSheetId="5">'PT 3 - vet hyg footwear'!$H$79</definedName>
    <definedName name="Kp_susp" localSheetId="7">'PT 3-vet hyg animal''s feet'!$H$81</definedName>
    <definedName name="Kp_susp" localSheetId="4">'PT 3-vet hyg non med teat dip'!$H$87</definedName>
    <definedName name="Ksoil_water" localSheetId="2">'PT 3 - animal housing'!$I$73</definedName>
    <definedName name="Ksoil_water" localSheetId="6">'PT 3 - dipping bath for tools'!$H$77</definedName>
    <definedName name="Ksoil_water" localSheetId="5">'PT 3 - vet hyg footwear'!$H$77</definedName>
    <definedName name="Ksoil_water" localSheetId="7">'PT 3-vet hyg animal''s feet'!$H$79</definedName>
    <definedName name="Ksoil_water" localSheetId="4">'PT 3-vet hyg non med teat dip'!$H$85</definedName>
    <definedName name="Ksusp_water" localSheetId="2">'PT 3 - animal housing'!$I$77</definedName>
    <definedName name="Ksusp_water" localSheetId="6">'PT 3 - dipping bath for tools'!$H$81</definedName>
    <definedName name="Ksusp_water" localSheetId="5">'PT 3 - vet hyg footwear'!$H$81</definedName>
    <definedName name="Ksusp_water" localSheetId="7">'PT 3-vet hyg animal''s feet'!$H$83</definedName>
    <definedName name="Ksusp_water" localSheetId="4">'PT 3-vet hyg non med teat dip'!$H$89</definedName>
    <definedName name="kvolat_ar" localSheetId="2">'PT 3 - animal housing'!$I$105</definedName>
    <definedName name="kvolat_ar" localSheetId="6">'PT 3 - dipping bath for tools'!$H$109</definedName>
    <definedName name="kvolat_ar" localSheetId="5">'PT 3 - vet hyg footwear'!$H$109</definedName>
    <definedName name="kvolat_ar" localSheetId="7">'PT 3-vet hyg animal''s feet'!$H$111</definedName>
    <definedName name="kvolat_ar" localSheetId="4">'PT 3-vet hyg non med teat dip'!$H$117</definedName>
    <definedName name="kvolat_gr" localSheetId="2">'PT 3 - animal housing'!$I$89</definedName>
    <definedName name="kvolat_gr" localSheetId="6">'PT 3 - dipping bath for tools'!$H$93</definedName>
    <definedName name="kvolat_gr" localSheetId="5">'PT 3 - vet hyg footwear'!$H$93</definedName>
    <definedName name="kvolat_gr" localSheetId="7">'PT 3-vet hyg animal''s feet'!$H$95</definedName>
    <definedName name="kvolat_gr" localSheetId="4">'PT 3-vet hyg non med teat dip'!$H$101</definedName>
    <definedName name="method_eggs" localSheetId="8">'PT 3 - hatcheries'!$G$23</definedName>
    <definedName name="method_rooms" localSheetId="8">'PT 3 - hatcheries'!$G$32</definedName>
    <definedName name="Napp_bioc" localSheetId="6">'PT 3 - dipping bath for tools'!$H$59</definedName>
    <definedName name="Napp_bioc" localSheetId="5">'PT 3 - vet hyg footwear'!$H$59</definedName>
    <definedName name="Napp_bioc" localSheetId="7">'PT 3-vet hyg animal''s feet'!$H$61</definedName>
    <definedName name="Napp_bioc" localSheetId="4">'PT 3-vet hyg non med teat dip'!$H$67</definedName>
    <definedName name="Napp_manure_ar" localSheetId="2">'PT 3 - animal housing'!$I$143</definedName>
    <definedName name="Napp_manure_ar" localSheetId="6">'PT 3 - dipping bath for tools'!$I$128</definedName>
    <definedName name="Napp_manure_ar" localSheetId="5">'PT 3 - vet hyg footwear'!$H$128</definedName>
    <definedName name="Napp_manure_ar" localSheetId="7">'PT 3-vet hyg animal''s feet'!$I$136</definedName>
    <definedName name="Napp_manure_ar" localSheetId="4">'PT 3-vet hyg non med teat dip'!$H$138</definedName>
    <definedName name="Napp_manure_gr" localSheetId="6">'PT 3 - dipping bath for tools'!$I$130</definedName>
    <definedName name="Napp_manure_gr" localSheetId="5">'PT 3 - vet hyg footwear'!$H$130</definedName>
    <definedName name="Napp_manure_gr" localSheetId="7">'PT 3-vet hyg animal''s feet'!$I$138</definedName>
    <definedName name="Napp_manure_gr" localSheetId="4">'PT 3-vet hyg non med teat dip'!$H$140</definedName>
    <definedName name="Napp_teat" localSheetId="4">'PT 3-vet hyg non med teat dip'!$H$62</definedName>
    <definedName name="Napp_teat_select">'Pick-lists &amp; Defaults'!$B$195:$B$198</definedName>
    <definedName name="Napp_teat_set" localSheetId="4">'PT 3-vet hyg non med teat dip'!$H$63</definedName>
    <definedName name="Nappbioc" localSheetId="3">'PT 3 - transport'!$E$34</definedName>
    <definedName name="Nappl_hatcher2" localSheetId="8">'PT 3 - hatcheries'!$G$53</definedName>
    <definedName name="Nappl_hatcher3" localSheetId="8">'PT 3 - hatcheries'!$G$67</definedName>
    <definedName name="Nappl_setter3" localSheetId="8">'PT 3 - hatcheries'!$G$61</definedName>
    <definedName name="Nappl_sluice1" localSheetId="8">'PT 3 - hatcheries'!$G$45</definedName>
    <definedName name="Nhatcher2" localSheetId="8">'PT 3 - hatcheries'!$G$51</definedName>
    <definedName name="Nhatcher3" localSheetId="8">'PT 3 - hatcheries'!$G$65</definedName>
    <definedName name="Nlapp_arab" localSheetId="2">'PT 3 - animal housing'!$I$61</definedName>
    <definedName name="Nlapp_arab" localSheetId="6">'PT 3 - dipping bath for tools'!$H$65</definedName>
    <definedName name="Nlapp_arab" localSheetId="5">'PT 3 - vet hyg footwear'!$H$65</definedName>
    <definedName name="Nlapp_arab" localSheetId="7">'PT 3-vet hyg animal''s feet'!$H$67</definedName>
    <definedName name="Nlapp_arab" localSheetId="4">'PT 3-vet hyg non med teat dip'!$H$73</definedName>
    <definedName name="Nlapp_arab_10" localSheetId="2">'PT 3 - animal housing'!$I$63</definedName>
    <definedName name="Nlapp_arab_10" localSheetId="6">'PT 3 - dipping bath for tools'!$H$67</definedName>
    <definedName name="Nlapp_arab_10" localSheetId="5">'PT 3 - vet hyg footwear'!$H$67</definedName>
    <definedName name="Nlapp_arab_10" localSheetId="7">'PT 3-vet hyg animal''s feet'!$H$69</definedName>
    <definedName name="Nlapp_arab_10" localSheetId="4">'PT 3-vet hyg non med teat dip'!$H$75</definedName>
    <definedName name="Nlapp_grass" localSheetId="2">'PT 3 - animal housing'!$I$59</definedName>
    <definedName name="Nlapp_grass" localSheetId="6">'PT 3 - dipping bath for tools'!$H$63</definedName>
    <definedName name="Nlapp_grass" localSheetId="5">'PT 3 - vet hyg footwear'!$H$63</definedName>
    <definedName name="Nlapp_grass" localSheetId="7">'PT 3-vet hyg animal''s feet'!$H$65</definedName>
    <definedName name="Nlapp_grass" localSheetId="4">'PT 3-vet hyg non med teat dip'!$H$71</definedName>
    <definedName name="Nsetter3" localSheetId="8">'PT 3 - hatcheries'!$G$59</definedName>
    <definedName name="Nsluice1" localSheetId="8">'PT 3 - hatcheries'!$G$43</definedName>
    <definedName name="Ntub_filling" localSheetId="6">'PT 3 - dipping bath for tools'!$H$57</definedName>
    <definedName name="Ntub_filling" localSheetId="5">'PT 3 - vet hyg footwear'!$H$57</definedName>
    <definedName name="Ntub_filling" localSheetId="7">'PT 3-vet hyg animal''s feet'!$H$59</definedName>
    <definedName name="Output" localSheetId="2">'PT 3 - animal housing'!$B$167</definedName>
    <definedName name="Output" localSheetId="6">'PT 3 - dipping bath for tools'!$B$149</definedName>
    <definedName name="Output" localSheetId="5">'PT 3 - vet hyg footwear'!$B$149</definedName>
    <definedName name="Output" localSheetId="7">'PT 3-vet hyg animal''s feet'!$B$158</definedName>
    <definedName name="Output" localSheetId="4">'PT 3-vet hyg non med teat dip'!$B$158</definedName>
    <definedName name="Purity" localSheetId="2">'PT 3 - animal housing'!$I$48</definedName>
    <definedName name="Purity" localSheetId="6">'PT 3 - dipping bath for tools'!$H$40</definedName>
    <definedName name="Purity" localSheetId="5">'PT 3 - vet hyg footwear'!$H$40</definedName>
    <definedName name="Purity" localSheetId="7">'PT 3-vet hyg animal''s feet'!$H$40</definedName>
    <definedName name="Purity" localSheetId="4">'PT 3-vet hyg non med teat dip'!$H$42</definedName>
    <definedName name="Qai_appl_eggs" localSheetId="8">'PT 3 - hatcheries'!$G$27</definedName>
    <definedName name="Qai_appl_rooms" localSheetId="8">'PT 3 - hatcheries'!$G$36</definedName>
    <definedName name="Qai_arab" localSheetId="6">'PT 3 - dipping bath for tools'!$I$140</definedName>
    <definedName name="Qai_arab" localSheetId="5">'PT 3 - vet hyg footwear'!$H$140</definedName>
    <definedName name="Qai_arab" localSheetId="7">'PT 3-vet hyg animal''s feet'!$I$149</definedName>
    <definedName name="Qai_arab" localSheetId="4">'PT 3-vet hyg non med teat dip'!$I$151</definedName>
    <definedName name="Qai_arab_grazing_s" localSheetId="4">'PT 3-vet hyg non med teat dip'!$J$151</definedName>
    <definedName name="Qai_grass" localSheetId="6">'PT 3 - dipping bath for tools'!$I$138</definedName>
    <definedName name="Qai_grass" localSheetId="5">'PT 3 - vet hyg footwear'!$H$138</definedName>
    <definedName name="Qai_grass" localSheetId="7">'PT 3-vet hyg animal''s feet'!$I$147</definedName>
    <definedName name="Qai_grass" localSheetId="4">'PT 3-vet hyg non med teat dip'!$I$149</definedName>
    <definedName name="Qai_grass_grazing_s" localSheetId="4">'PT 3-vet hyg non med teat dip'!$J$149</definedName>
    <definedName name="Qai_prescr" localSheetId="6">'PT 3 - dipping bath for tools'!$I$132</definedName>
    <definedName name="Qai_prescr" localSheetId="5">'PT 3 - vet hyg footwear'!$H$132</definedName>
    <definedName name="Qai_prescr" localSheetId="7">'PT 3-vet hyg animal''s feet'!$I$140</definedName>
    <definedName name="Qai_prescr" localSheetId="4">'PT 3-vet hyg non med teat dip'!$H$142</definedName>
    <definedName name="Qai_prescr_mam" localSheetId="3">'PT 3 - transport'!$E$47</definedName>
    <definedName name="Qai_prescr_poul" localSheetId="3">'PT 3 - transport'!$E$48</definedName>
    <definedName name="QN_arable" localSheetId="2">'PT 3 - animal housing'!$I$113</definedName>
    <definedName name="QN_arable" localSheetId="6">'PT 3 - dipping bath for tools'!$H$117</definedName>
    <definedName name="QN_arable" localSheetId="5">'PT 3 - vet hyg footwear'!$H$117</definedName>
    <definedName name="QN_arable" localSheetId="7">'PT 3-vet hyg animal''s feet'!$H$119</definedName>
    <definedName name="QN_arable" localSheetId="4">'PT 3-vet hyg non med teat dip'!$H$125</definedName>
    <definedName name="QN_grass" localSheetId="2">'PT 3 - animal housing'!$I$97</definedName>
    <definedName name="QN_grass" localSheetId="6">'PT 3 - dipping bath for tools'!$H$101</definedName>
    <definedName name="QN_grass" localSheetId="5">'PT 3 - vet hyg footwear'!$H$101</definedName>
    <definedName name="QN_grass" localSheetId="7">'PT 3-vet hyg animal''s feet'!$H$103</definedName>
    <definedName name="QN_grass" localSheetId="4">'PT 3-vet hyg non med teat dip'!$H$109</definedName>
    <definedName name="Qprod" localSheetId="2">'PT 3 - animal housing'!$I$44</definedName>
    <definedName name="RHOsoilwet" localSheetId="2">'PT 3 - animal housing'!$I$69</definedName>
    <definedName name="RHOsoilwet" localSheetId="6">'PT 3 - dipping bath for tools'!$H$73</definedName>
    <definedName name="RHOsoilwet" localSheetId="5">'PT 3 - vet hyg footwear'!$H$73</definedName>
    <definedName name="RHOsoilwet" localSheetId="7">'PT 3-vet hyg animal''s feet'!$H$75</definedName>
    <definedName name="RHOsoilwet" localSheetId="4">'PT 3-vet hyg non med teat dip'!$H$81</definedName>
    <definedName name="RHOsusp" localSheetId="2">'PT 3 - animal housing'!$I$71</definedName>
    <definedName name="RHOsusp" localSheetId="6">'PT 3 - dipping bath for tools'!$H$75</definedName>
    <definedName name="RHOsusp" localSheetId="5">'PT 3 - vet hyg footwear'!$H$75</definedName>
    <definedName name="RHOsusp" localSheetId="7">'PT 3-vet hyg animal''s feet'!$H$77</definedName>
    <definedName name="RHOsusp" localSheetId="4">'PT 3-vet hyg non med teat dip'!$H$83</definedName>
    <definedName name="rooms_disinfection">'Pick-lists &amp; Defaults'!$B$210:$B$212</definedName>
    <definedName name="Select_area">'Pick-lists &amp; Defaults'!$B$47:$B$55</definedName>
    <definedName name="Select_units">'Pick-lists &amp; Defaults'!$B$5:$B$7</definedName>
    <definedName name="Soil___arable_land" localSheetId="2">'PT 3 - animal housing'!$B$172</definedName>
    <definedName name="Soil___arable_land" localSheetId="6">'PT 3 - dipping bath for tools'!$B$153</definedName>
    <definedName name="Soil___arable_land" localSheetId="5">'PT 3 - vet hyg footwear'!$B$153</definedName>
    <definedName name="Soil___arable_land" localSheetId="7">'PT 3-vet hyg animal''s feet'!$B$162</definedName>
    <definedName name="Soil___arable_land" localSheetId="4">'PT 3-vet hyg non med teat dip'!$B$162</definedName>
    <definedName name="Soil___grassland" localSheetId="2">'PT 3 - animal housing'!$B$191</definedName>
    <definedName name="Soil___grassland" localSheetId="6">'PT 3 - dipping bath for tools'!$B$170</definedName>
    <definedName name="Soil___grassland" localSheetId="5">'PT 3 - vet hyg footwear'!$B$170</definedName>
    <definedName name="Soil___grassland" localSheetId="7">'PT 3-vet hyg animal''s feet'!$B$179</definedName>
    <definedName name="Soil___grassland" localSheetId="4">'PT 3-vet hyg non med teat dip'!$B$179</definedName>
    <definedName name="source_strength" localSheetId="2">'PT 3 - animal housing'!$I$117</definedName>
    <definedName name="Source_strength" localSheetId="3">'PT 3 - transport'!$E$38</definedName>
    <definedName name="source_strength" localSheetId="7">'PT 3-vet hyg animal''s feet'!$H$123</definedName>
    <definedName name="Spraying">'Pick-lists &amp; Defaults'!$B$62</definedName>
    <definedName name="STP" localSheetId="2">'PT 3 - animal housing'!$B$219</definedName>
    <definedName name="STP" localSheetId="6">'PT 3 - dipping bath for tools'!$B$192</definedName>
    <definedName name="STP" localSheetId="5">'PT 3 - vet hyg footwear'!$B$192</definedName>
    <definedName name="STP" localSheetId="7">'PT 3-vet hyg animal''s feet'!$B$204</definedName>
    <definedName name="STP" localSheetId="4">'PT 3-vet hyg non med teat dip'!$B$201</definedName>
    <definedName name="SUSPwater" localSheetId="2">'PT 3 - animal housing'!$I$79</definedName>
    <definedName name="SUSPwater" localSheetId="6">'PT 3 - dipping bath for tools'!$H$83</definedName>
    <definedName name="SUSPwater" localSheetId="5">'PT 3 - vet hyg footwear'!$H$83</definedName>
    <definedName name="SUSPwater" localSheetId="7">'PT 3-vet hyg animal''s feet'!$H$85</definedName>
    <definedName name="SUSPwater" localSheetId="4">'PT 3-vet hyg non med teat dip'!$H$91</definedName>
    <definedName name="Tar_int_10" localSheetId="2">'PT 3 - animal housing'!$I$67</definedName>
    <definedName name="Tar_int_10" localSheetId="6">'PT 3 - dipping bath for tools'!$H$71</definedName>
    <definedName name="Tar_int_10" localSheetId="5">'PT 3 - vet hyg footwear'!$H$71</definedName>
    <definedName name="Tar_int_10" localSheetId="7">'PT 3-vet hyg animal''s feet'!$H$73</definedName>
    <definedName name="Tar_int_10" localSheetId="4">'PT 3-vet hyg non med teat dip'!$H$79</definedName>
    <definedName name="Tbioc_int" localSheetId="6">'PT 3 - dipping bath for tools'!$H$61</definedName>
    <definedName name="Tbioc_int" localSheetId="5">'PT 3 - vet hyg footwear'!$H$61</definedName>
    <definedName name="Tbioc_int" localSheetId="7">'PT 3-vet hyg animal''s feet'!$H$63</definedName>
    <definedName name="Tbioc_int" localSheetId="4">'PT 3-vet hyg non med teat dip'!$H$69</definedName>
    <definedName name="Temission" localSheetId="2">'PT 3 - animal housing'!$I$119</definedName>
    <definedName name="Temission" localSheetId="3">'PT 3 - transport'!$E$40</definedName>
    <definedName name="Temission" localSheetId="7">'PT 3-vet hyg animal''s feet'!$H$125</definedName>
    <definedName name="Temission" localSheetId="4">'PT 3-vet hyg non med teat dip'!$H$65</definedName>
    <definedName name="Tgr_int" localSheetId="2">'PT 3 - animal housing'!$I$65</definedName>
    <definedName name="Tgr_int" localSheetId="6">'PT 3 - dipping bath for tools'!$H$69</definedName>
    <definedName name="Tgr_int" localSheetId="5">'PT 3 - vet hyg footwear'!$H$69</definedName>
    <definedName name="Tgr_int" localSheetId="7">'PT 3-vet hyg animal''s feet'!$H$71</definedName>
    <definedName name="Tgr_int" localSheetId="4">'PT 3-vet hyg non med teat dip'!$H$77</definedName>
    <definedName name="Tgr_int_no_manure" localSheetId="2">'PT 3 - animal housing'!#REF!</definedName>
    <definedName name="Tgr_int_no_manure" localSheetId="6">'PT 3 - dipping bath for tools'!#REF!</definedName>
    <definedName name="Tgr_int_no_manure" localSheetId="5">'PT 3 - vet hyg footwear'!#REF!</definedName>
    <definedName name="Tgr_int_no_manure" localSheetId="7">'PT 3-vet hyg animal''s feet'!#REF!</definedName>
    <definedName name="Tgr_int_no_manure" localSheetId="4">'PT 3-vet hyg non med teat dip'!#REF!</definedName>
    <definedName name="units">'Pick-lists &amp; Defaults'!$C$179:$C$181</definedName>
    <definedName name="units_L">'Pick-lists &amp; Defaults'!$C$183:$C$185</definedName>
    <definedName name="V_prod" localSheetId="3">'PT 3 - transport'!$E$26</definedName>
    <definedName name="Vhatcher2" localSheetId="8">'PT 3 - hatcheries'!$G$49</definedName>
    <definedName name="Vhatcher3" localSheetId="8">'PT 3 - hatcheries'!$G$63</definedName>
    <definedName name="Vprod" localSheetId="4">'PT 3-vet hyg non med teat dip'!$H$50</definedName>
    <definedName name="Vreserv" localSheetId="6">'PT 3 - dipping bath for tools'!$H$50</definedName>
    <definedName name="Vreserv" localSheetId="5">'PT 3 - vet hyg footwear'!$H$50</definedName>
    <definedName name="Vreserv" localSheetId="7">'PT 3-vet hyg animal''s feet'!$H$50</definedName>
    <definedName name="Vsetter3" localSheetId="8">'PT 3 - hatcheries'!$G$57</definedName>
    <definedName name="Vsluice1" localSheetId="8">'PT 3 - hatcheries'!$G$41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67" l="1"/>
  <c r="J176" i="60" l="1"/>
  <c r="K176" i="60"/>
  <c r="L176" i="60"/>
  <c r="M176" i="60"/>
  <c r="N176" i="60"/>
  <c r="O176" i="60"/>
  <c r="P176" i="60"/>
  <c r="Q176" i="60"/>
  <c r="R176" i="60"/>
  <c r="S176" i="60"/>
  <c r="T176" i="60"/>
  <c r="U176" i="60"/>
  <c r="V176" i="60"/>
  <c r="W176" i="60"/>
  <c r="X176" i="60"/>
  <c r="Y176" i="60"/>
  <c r="Z176" i="60"/>
  <c r="AA176" i="60"/>
  <c r="AB176" i="60"/>
  <c r="I176" i="60"/>
  <c r="J185" i="66"/>
  <c r="I185" i="66"/>
  <c r="J166" i="66"/>
  <c r="I166" i="66"/>
  <c r="J157" i="60"/>
  <c r="K157" i="60"/>
  <c r="L157" i="60"/>
  <c r="M157" i="60"/>
  <c r="N157" i="60"/>
  <c r="O157" i="60"/>
  <c r="P157" i="60"/>
  <c r="Q157" i="60"/>
  <c r="R157" i="60"/>
  <c r="S157" i="60"/>
  <c r="T157" i="60"/>
  <c r="U157" i="60"/>
  <c r="V157" i="60"/>
  <c r="W157" i="60"/>
  <c r="X157" i="60"/>
  <c r="Y157" i="60"/>
  <c r="Z157" i="60"/>
  <c r="AA157" i="60"/>
  <c r="AB157" i="60"/>
  <c r="J185" i="61"/>
  <c r="I185" i="61"/>
  <c r="J166" i="61"/>
  <c r="I166" i="61"/>
  <c r="G76" i="67" l="1"/>
  <c r="G72" i="67"/>
  <c r="G86" i="67" l="1"/>
  <c r="G91" i="67"/>
  <c r="G84" i="67"/>
  <c r="G89" i="67"/>
  <c r="G99" i="67" l="1"/>
  <c r="G97" i="67"/>
  <c r="J146" i="59"/>
  <c r="H57" i="66" l="1"/>
  <c r="H56" i="66"/>
  <c r="I138" i="66" l="1"/>
  <c r="J130" i="66"/>
  <c r="I130" i="66"/>
  <c r="J128" i="66"/>
  <c r="I128" i="66"/>
  <c r="H115" i="66"/>
  <c r="H117" i="66" s="1"/>
  <c r="H99" i="66"/>
  <c r="H101" i="66" s="1"/>
  <c r="H69" i="66"/>
  <c r="H46" i="66"/>
  <c r="I140" i="66" s="1"/>
  <c r="I130" i="65"/>
  <c r="AB122" i="65"/>
  <c r="AA122" i="65"/>
  <c r="Z122" i="65"/>
  <c r="Y122" i="65"/>
  <c r="X122" i="65"/>
  <c r="W122" i="65"/>
  <c r="V122" i="65"/>
  <c r="U122" i="65"/>
  <c r="T122" i="65"/>
  <c r="S122" i="65"/>
  <c r="R122" i="65"/>
  <c r="Q122" i="65"/>
  <c r="P122" i="65"/>
  <c r="O122" i="65"/>
  <c r="N122" i="65"/>
  <c r="M122" i="65"/>
  <c r="L122" i="65"/>
  <c r="K122" i="65"/>
  <c r="J122" i="65"/>
  <c r="I122" i="65"/>
  <c r="AB120" i="65"/>
  <c r="AA120" i="65"/>
  <c r="Z120" i="65"/>
  <c r="Y120" i="65"/>
  <c r="X120" i="65"/>
  <c r="W120" i="65"/>
  <c r="V120" i="65"/>
  <c r="U120" i="65"/>
  <c r="T120" i="65"/>
  <c r="S120" i="65"/>
  <c r="R120" i="65"/>
  <c r="Q120" i="65"/>
  <c r="P120" i="65"/>
  <c r="O120" i="65"/>
  <c r="N120" i="65"/>
  <c r="M120" i="65"/>
  <c r="L120" i="65"/>
  <c r="K120" i="65"/>
  <c r="K144" i="65" s="1"/>
  <c r="J120" i="65"/>
  <c r="I120" i="65"/>
  <c r="H113" i="65"/>
  <c r="H115" i="65" s="1"/>
  <c r="H97" i="65"/>
  <c r="H99" i="65" s="1"/>
  <c r="H67" i="65"/>
  <c r="H46" i="65"/>
  <c r="I132" i="65" s="1"/>
  <c r="I145" i="66" l="1"/>
  <c r="I144" i="66"/>
  <c r="I143" i="66"/>
  <c r="I157" i="65"/>
  <c r="L157" i="65"/>
  <c r="T157" i="65"/>
  <c r="AB157" i="65"/>
  <c r="M157" i="65"/>
  <c r="U157" i="65"/>
  <c r="N157" i="65"/>
  <c r="V157" i="65"/>
  <c r="O157" i="65"/>
  <c r="W157" i="65"/>
  <c r="P157" i="65"/>
  <c r="X157" i="65"/>
  <c r="Q157" i="65"/>
  <c r="Y157" i="65"/>
  <c r="J157" i="65"/>
  <c r="R157" i="65"/>
  <c r="Z157" i="65"/>
  <c r="K157" i="65"/>
  <c r="S157" i="65"/>
  <c r="AA157" i="65"/>
  <c r="N176" i="65"/>
  <c r="V176" i="65"/>
  <c r="O176" i="65"/>
  <c r="W176" i="65"/>
  <c r="P176" i="65"/>
  <c r="X176" i="65"/>
  <c r="T176" i="65"/>
  <c r="AB176" i="65"/>
  <c r="U176" i="65"/>
  <c r="Q176" i="65"/>
  <c r="Y176" i="65"/>
  <c r="R176" i="65"/>
  <c r="Z176" i="65"/>
  <c r="K176" i="65"/>
  <c r="S176" i="65"/>
  <c r="AA176" i="65"/>
  <c r="L176" i="65"/>
  <c r="M176" i="65"/>
  <c r="J176" i="65"/>
  <c r="I176" i="65"/>
  <c r="J153" i="66"/>
  <c r="U146" i="65"/>
  <c r="M146" i="65"/>
  <c r="AA144" i="65"/>
  <c r="S144" i="65"/>
  <c r="J144" i="65"/>
  <c r="R144" i="65"/>
  <c r="Z144" i="65"/>
  <c r="AB144" i="65"/>
  <c r="P146" i="65"/>
  <c r="X146" i="65"/>
  <c r="K146" i="65"/>
  <c r="S146" i="65"/>
  <c r="AA146" i="65"/>
  <c r="L146" i="65"/>
  <c r="T146" i="65"/>
  <c r="AB146" i="65"/>
  <c r="J146" i="65"/>
  <c r="R146" i="65"/>
  <c r="V146" i="65"/>
  <c r="L144" i="65"/>
  <c r="N146" i="65"/>
  <c r="P144" i="65"/>
  <c r="X144" i="65"/>
  <c r="N144" i="65"/>
  <c r="Z146" i="65"/>
  <c r="M144" i="65"/>
  <c r="U144" i="65"/>
  <c r="I144" i="65"/>
  <c r="Q144" i="65"/>
  <c r="Y144" i="65"/>
  <c r="T144" i="65"/>
  <c r="V144" i="65"/>
  <c r="J205" i="66"/>
  <c r="I205" i="66"/>
  <c r="J155" i="66"/>
  <c r="I153" i="66"/>
  <c r="I155" i="66"/>
  <c r="AA193" i="65"/>
  <c r="S193" i="65"/>
  <c r="K193" i="65"/>
  <c r="I136" i="65"/>
  <c r="L193" i="65"/>
  <c r="Z193" i="65"/>
  <c r="R193" i="65"/>
  <c r="J193" i="65"/>
  <c r="Y193" i="65"/>
  <c r="Q193" i="65"/>
  <c r="I193" i="65"/>
  <c r="X193" i="65"/>
  <c r="P193" i="65"/>
  <c r="N193" i="65"/>
  <c r="T193" i="65"/>
  <c r="W193" i="65"/>
  <c r="O193" i="65"/>
  <c r="V193" i="65"/>
  <c r="U193" i="65"/>
  <c r="M193" i="65"/>
  <c r="I135" i="65"/>
  <c r="AB193" i="65"/>
  <c r="O146" i="65"/>
  <c r="O144" i="65"/>
  <c r="W146" i="65"/>
  <c r="W144" i="65"/>
  <c r="I146" i="65"/>
  <c r="Q146" i="65"/>
  <c r="Y146" i="65"/>
  <c r="J202" i="66" l="1"/>
  <c r="I202" i="66"/>
  <c r="I149" i="66"/>
  <c r="I147" i="66"/>
  <c r="I140" i="65"/>
  <c r="I138" i="65"/>
  <c r="I182" i="66" l="1"/>
  <c r="J180" i="66"/>
  <c r="J188" i="66" s="1"/>
  <c r="I180" i="66"/>
  <c r="I188" i="66" s="1"/>
  <c r="J182" i="66"/>
  <c r="I163" i="66"/>
  <c r="J163" i="66"/>
  <c r="AA154" i="65"/>
  <c r="S154" i="65"/>
  <c r="K154" i="65"/>
  <c r="Z154" i="65"/>
  <c r="R154" i="65"/>
  <c r="J154" i="65"/>
  <c r="Y154" i="65"/>
  <c r="Q154" i="65"/>
  <c r="I154" i="65"/>
  <c r="V154" i="65"/>
  <c r="X154" i="65"/>
  <c r="P154" i="65"/>
  <c r="T154" i="65"/>
  <c r="W154" i="65"/>
  <c r="O154" i="65"/>
  <c r="N154" i="65"/>
  <c r="AB154" i="65"/>
  <c r="U154" i="65"/>
  <c r="M154" i="65"/>
  <c r="L154" i="65"/>
  <c r="AA173" i="65"/>
  <c r="S173" i="65"/>
  <c r="K173" i="65"/>
  <c r="W171" i="65"/>
  <c r="W179" i="65" s="1"/>
  <c r="O171" i="65"/>
  <c r="O179" i="65" s="1"/>
  <c r="X171" i="65"/>
  <c r="X179" i="65" s="1"/>
  <c r="Z173" i="65"/>
  <c r="R173" i="65"/>
  <c r="J173" i="65"/>
  <c r="V171" i="65"/>
  <c r="V179" i="65" s="1"/>
  <c r="N171" i="65"/>
  <c r="N179" i="65" s="1"/>
  <c r="N173" i="65"/>
  <c r="T173" i="65"/>
  <c r="Y173" i="65"/>
  <c r="Q173" i="65"/>
  <c r="I173" i="65"/>
  <c r="U171" i="65"/>
  <c r="U179" i="65" s="1"/>
  <c r="M171" i="65"/>
  <c r="M179" i="65" s="1"/>
  <c r="V173" i="65"/>
  <c r="Z171" i="65"/>
  <c r="Z179" i="65" s="1"/>
  <c r="X173" i="65"/>
  <c r="P173" i="65"/>
  <c r="AB171" i="65"/>
  <c r="AB179" i="65" s="1"/>
  <c r="T171" i="65"/>
  <c r="T179" i="65" s="1"/>
  <c r="L171" i="65"/>
  <c r="L179" i="65" s="1"/>
  <c r="J171" i="65"/>
  <c r="J179" i="65" s="1"/>
  <c r="L173" i="65"/>
  <c r="W173" i="65"/>
  <c r="O173" i="65"/>
  <c r="AA171" i="65"/>
  <c r="AA179" i="65" s="1"/>
  <c r="S171" i="65"/>
  <c r="S179" i="65" s="1"/>
  <c r="K171" i="65"/>
  <c r="K179" i="65" s="1"/>
  <c r="R171" i="65"/>
  <c r="R179" i="65" s="1"/>
  <c r="U173" i="65"/>
  <c r="M173" i="65"/>
  <c r="Y171" i="65"/>
  <c r="Y179" i="65" s="1"/>
  <c r="Q171" i="65"/>
  <c r="Q179" i="65" s="1"/>
  <c r="I171" i="65"/>
  <c r="I179" i="65" s="1"/>
  <c r="AB173" i="65"/>
  <c r="P171" i="65"/>
  <c r="P179" i="65" s="1"/>
  <c r="J192" i="66" l="1"/>
  <c r="J195" i="66" s="1"/>
  <c r="J190" i="66"/>
  <c r="J197" i="66" s="1"/>
  <c r="J199" i="66" s="1"/>
  <c r="I168" i="66"/>
  <c r="I175" i="66" s="1"/>
  <c r="I177" i="66" s="1"/>
  <c r="I170" i="66"/>
  <c r="I173" i="66" s="1"/>
  <c r="I192" i="66"/>
  <c r="I195" i="66" s="1"/>
  <c r="I190" i="66"/>
  <c r="I197" i="66" s="1"/>
  <c r="I199" i="66" s="1"/>
  <c r="J170" i="66"/>
  <c r="J173" i="66" s="1"/>
  <c r="J168" i="66"/>
  <c r="J175" i="66" s="1"/>
  <c r="J177" i="66" s="1"/>
  <c r="I183" i="65"/>
  <c r="I186" i="65" s="1"/>
  <c r="I181" i="65"/>
  <c r="I188" i="65" s="1"/>
  <c r="I190" i="65" s="1"/>
  <c r="Z183" i="65"/>
  <c r="Z186" i="65" s="1"/>
  <c r="Z181" i="65"/>
  <c r="Z188" i="65" s="1"/>
  <c r="Z190" i="65" s="1"/>
  <c r="Q159" i="65"/>
  <c r="Q166" i="65" s="1"/>
  <c r="Q168" i="65" s="1"/>
  <c r="Q161" i="65"/>
  <c r="Q164" i="65" s="1"/>
  <c r="N181" i="65"/>
  <c r="N188" i="65" s="1"/>
  <c r="N190" i="65" s="1"/>
  <c r="N183" i="65"/>
  <c r="N186" i="65" s="1"/>
  <c r="O161" i="65"/>
  <c r="O164" i="65" s="1"/>
  <c r="O159" i="65"/>
  <c r="O166" i="65" s="1"/>
  <c r="O168" i="65" s="1"/>
  <c r="Y159" i="65"/>
  <c r="Y166" i="65" s="1"/>
  <c r="Y168" i="65" s="1"/>
  <c r="Y161" i="65"/>
  <c r="Y164" i="65" s="1"/>
  <c r="Y183" i="65"/>
  <c r="Y186" i="65" s="1"/>
  <c r="Y181" i="65"/>
  <c r="Y188" i="65" s="1"/>
  <c r="Y190" i="65" s="1"/>
  <c r="W181" i="65"/>
  <c r="W188" i="65" s="1"/>
  <c r="W190" i="65" s="1"/>
  <c r="W183" i="65"/>
  <c r="W186" i="65" s="1"/>
  <c r="N161" i="65"/>
  <c r="N164" i="65" s="1"/>
  <c r="N159" i="65"/>
  <c r="N166" i="65" s="1"/>
  <c r="N168" i="65" s="1"/>
  <c r="J183" i="65"/>
  <c r="J186" i="65" s="1"/>
  <c r="J181" i="65"/>
  <c r="J188" i="65" s="1"/>
  <c r="J190" i="65" s="1"/>
  <c r="M181" i="65"/>
  <c r="M188" i="65" s="1"/>
  <c r="M190" i="65" s="1"/>
  <c r="M183" i="65"/>
  <c r="M186" i="65" s="1"/>
  <c r="V181" i="65"/>
  <c r="V188" i="65" s="1"/>
  <c r="V190" i="65" s="1"/>
  <c r="V183" i="65"/>
  <c r="V186" i="65" s="1"/>
  <c r="W161" i="65"/>
  <c r="W164" i="65" s="1"/>
  <c r="W159" i="65"/>
  <c r="W166" i="65" s="1"/>
  <c r="W168" i="65" s="1"/>
  <c r="J159" i="65"/>
  <c r="J166" i="65" s="1"/>
  <c r="J168" i="65" s="1"/>
  <c r="J161" i="65"/>
  <c r="J164" i="65" s="1"/>
  <c r="L181" i="65"/>
  <c r="L188" i="65" s="1"/>
  <c r="L190" i="65" s="1"/>
  <c r="L183" i="65"/>
  <c r="L186" i="65" s="1"/>
  <c r="T161" i="65"/>
  <c r="T164" i="65" s="1"/>
  <c r="T159" i="65"/>
  <c r="T166" i="65" s="1"/>
  <c r="T168" i="65" s="1"/>
  <c r="R161" i="65"/>
  <c r="R164" i="65" s="1"/>
  <c r="R159" i="65"/>
  <c r="R166" i="65" s="1"/>
  <c r="R168" i="65" s="1"/>
  <c r="AA183" i="65"/>
  <c r="AA186" i="65" s="1"/>
  <c r="AA181" i="65"/>
  <c r="AA188" i="65" s="1"/>
  <c r="AA190" i="65" s="1"/>
  <c r="R183" i="65"/>
  <c r="R186" i="65" s="1"/>
  <c r="R181" i="65"/>
  <c r="R188" i="65" s="1"/>
  <c r="R190" i="65" s="1"/>
  <c r="U181" i="65"/>
  <c r="U188" i="65" s="1"/>
  <c r="U190" i="65" s="1"/>
  <c r="U183" i="65"/>
  <c r="U186" i="65" s="1"/>
  <c r="P181" i="65"/>
  <c r="P188" i="65" s="1"/>
  <c r="P190" i="65" s="1"/>
  <c r="P183" i="65"/>
  <c r="P186" i="65" s="1"/>
  <c r="K183" i="65"/>
  <c r="K186" i="65" s="1"/>
  <c r="K181" i="65"/>
  <c r="K188" i="65" s="1"/>
  <c r="K190" i="65" s="1"/>
  <c r="T183" i="65"/>
  <c r="T186" i="65" s="1"/>
  <c r="T181" i="65"/>
  <c r="T188" i="65" s="1"/>
  <c r="T190" i="65" s="1"/>
  <c r="L161" i="65"/>
  <c r="L164" i="65" s="1"/>
  <c r="L159" i="65"/>
  <c r="L166" i="65" s="1"/>
  <c r="L168" i="65" s="1"/>
  <c r="P159" i="65"/>
  <c r="P166" i="65" s="1"/>
  <c r="P168" i="65" s="1"/>
  <c r="P161" i="65"/>
  <c r="P164" i="65" s="1"/>
  <c r="Z159" i="65"/>
  <c r="Z166" i="65" s="1"/>
  <c r="Z168" i="65" s="1"/>
  <c r="Z161" i="65"/>
  <c r="Z164" i="65" s="1"/>
  <c r="S183" i="65"/>
  <c r="S186" i="65" s="1"/>
  <c r="S181" i="65"/>
  <c r="S188" i="65" s="1"/>
  <c r="S190" i="65" s="1"/>
  <c r="AB181" i="65"/>
  <c r="AB188" i="65" s="1"/>
  <c r="AB190" i="65" s="1"/>
  <c r="AB183" i="65"/>
  <c r="AB186" i="65" s="1"/>
  <c r="M161" i="65"/>
  <c r="M164" i="65" s="1"/>
  <c r="M159" i="65"/>
  <c r="M166" i="65" s="1"/>
  <c r="M168" i="65" s="1"/>
  <c r="X161" i="65"/>
  <c r="X164" i="65" s="1"/>
  <c r="X159" i="65"/>
  <c r="X166" i="65" s="1"/>
  <c r="X168" i="65" s="1"/>
  <c r="K159" i="65"/>
  <c r="K166" i="65" s="1"/>
  <c r="K168" i="65" s="1"/>
  <c r="K161" i="65"/>
  <c r="K164" i="65" s="1"/>
  <c r="X183" i="65"/>
  <c r="X186" i="65" s="1"/>
  <c r="X181" i="65"/>
  <c r="X188" i="65" s="1"/>
  <c r="X190" i="65" s="1"/>
  <c r="U161" i="65"/>
  <c r="U164" i="65" s="1"/>
  <c r="U159" i="65"/>
  <c r="U166" i="65" s="1"/>
  <c r="U168" i="65" s="1"/>
  <c r="V161" i="65"/>
  <c r="V164" i="65" s="1"/>
  <c r="V159" i="65"/>
  <c r="V166" i="65" s="1"/>
  <c r="V168" i="65" s="1"/>
  <c r="S159" i="65"/>
  <c r="S166" i="65" s="1"/>
  <c r="S168" i="65" s="1"/>
  <c r="S161" i="65"/>
  <c r="S164" i="65" s="1"/>
  <c r="Q183" i="65"/>
  <c r="Q186" i="65" s="1"/>
  <c r="Q181" i="65"/>
  <c r="Q188" i="65" s="1"/>
  <c r="Q190" i="65" s="1"/>
  <c r="O181" i="65"/>
  <c r="O188" i="65" s="1"/>
  <c r="O190" i="65" s="1"/>
  <c r="O183" i="65"/>
  <c r="O186" i="65" s="1"/>
  <c r="AB159" i="65"/>
  <c r="AB166" i="65" s="1"/>
  <c r="AB168" i="65" s="1"/>
  <c r="AB161" i="65"/>
  <c r="AB164" i="65" s="1"/>
  <c r="I159" i="65"/>
  <c r="I166" i="65" s="1"/>
  <c r="I168" i="65" s="1"/>
  <c r="I161" i="65"/>
  <c r="I164" i="65" s="1"/>
  <c r="AA159" i="65"/>
  <c r="AA166" i="65" s="1"/>
  <c r="AA168" i="65" s="1"/>
  <c r="AA161" i="65"/>
  <c r="AA164" i="65" s="1"/>
  <c r="H130" i="60" l="1"/>
  <c r="H113" i="60"/>
  <c r="H97" i="60"/>
  <c r="I109" i="59" l="1"/>
  <c r="I93" i="59"/>
  <c r="H105" i="61"/>
  <c r="H121" i="61"/>
  <c r="G124" i="59" l="1"/>
  <c r="G123" i="59"/>
  <c r="G56" i="59"/>
  <c r="E96" i="3"/>
  <c r="E95" i="3"/>
  <c r="E94" i="3"/>
  <c r="E93" i="3"/>
  <c r="E92" i="3"/>
  <c r="E91" i="3"/>
  <c r="E90" i="3"/>
  <c r="E89" i="3"/>
  <c r="E88" i="3"/>
  <c r="E87" i="3"/>
  <c r="E86" i="3"/>
  <c r="E85" i="3"/>
  <c r="E84" i="3"/>
  <c r="E83" i="3"/>
  <c r="E82" i="3"/>
  <c r="E81" i="3"/>
  <c r="E80" i="3"/>
  <c r="E79" i="3"/>
  <c r="E78" i="3"/>
  <c r="E77" i="3"/>
  <c r="AC129" i="59" l="1"/>
  <c r="AB129" i="59"/>
  <c r="AA129" i="59"/>
  <c r="Z129" i="59"/>
  <c r="Y129" i="59"/>
  <c r="X129" i="59"/>
  <c r="W129" i="59"/>
  <c r="V129" i="59"/>
  <c r="U129" i="59"/>
  <c r="T129" i="59"/>
  <c r="S129" i="59"/>
  <c r="R129" i="59"/>
  <c r="Q129" i="59"/>
  <c r="P129" i="59"/>
  <c r="O129" i="59"/>
  <c r="N129" i="59"/>
  <c r="M129" i="59"/>
  <c r="L129" i="59"/>
  <c r="K129" i="59"/>
  <c r="J129" i="59"/>
  <c r="J131" i="59"/>
  <c r="J133" i="59"/>
  <c r="AC128" i="59"/>
  <c r="AB128" i="59"/>
  <c r="AA128" i="59"/>
  <c r="Z128" i="59"/>
  <c r="Y128" i="59"/>
  <c r="X128" i="59"/>
  <c r="W128" i="59"/>
  <c r="V128" i="59"/>
  <c r="U128" i="59"/>
  <c r="T128" i="59"/>
  <c r="S128" i="59"/>
  <c r="R128" i="59"/>
  <c r="Q128" i="59"/>
  <c r="P128" i="59"/>
  <c r="O128" i="59"/>
  <c r="N128" i="59"/>
  <c r="M128" i="59"/>
  <c r="L128" i="59"/>
  <c r="K128" i="59"/>
  <c r="J128" i="59"/>
  <c r="AC127" i="59"/>
  <c r="AB127" i="59"/>
  <c r="AA127" i="59"/>
  <c r="Z127" i="59"/>
  <c r="Y127" i="59"/>
  <c r="X127" i="59"/>
  <c r="W127" i="59"/>
  <c r="V127" i="59"/>
  <c r="U127" i="59"/>
  <c r="T127" i="59"/>
  <c r="S127" i="59"/>
  <c r="R127" i="59"/>
  <c r="Q127" i="59"/>
  <c r="P127" i="59"/>
  <c r="O127" i="59"/>
  <c r="N127" i="59"/>
  <c r="M127" i="59"/>
  <c r="L127" i="59"/>
  <c r="K127" i="59"/>
  <c r="J127" i="59"/>
  <c r="AC126" i="59"/>
  <c r="AB126" i="59"/>
  <c r="AA126" i="59"/>
  <c r="Z126" i="59"/>
  <c r="Y126" i="59"/>
  <c r="X126" i="59"/>
  <c r="W126" i="59"/>
  <c r="V126" i="59"/>
  <c r="U126" i="59"/>
  <c r="T126" i="59"/>
  <c r="S126" i="59"/>
  <c r="R126" i="59"/>
  <c r="Q126" i="59"/>
  <c r="P126" i="59"/>
  <c r="O126" i="59"/>
  <c r="N126" i="59"/>
  <c r="M126" i="59"/>
  <c r="L126" i="59"/>
  <c r="K126" i="59"/>
  <c r="J126" i="59"/>
  <c r="J164" i="59" l="1"/>
  <c r="W146" i="59"/>
  <c r="X146" i="59"/>
  <c r="Y146" i="59"/>
  <c r="Z146" i="59"/>
  <c r="AA146" i="59"/>
  <c r="AB146" i="59"/>
  <c r="AC146" i="59"/>
  <c r="K146" i="59"/>
  <c r="L146" i="59"/>
  <c r="M146" i="59"/>
  <c r="N146" i="59"/>
  <c r="O146" i="59"/>
  <c r="P146" i="59"/>
  <c r="Q146" i="59"/>
  <c r="R146" i="59"/>
  <c r="S146" i="59"/>
  <c r="T146" i="59"/>
  <c r="U146" i="59"/>
  <c r="V146" i="59"/>
  <c r="I54" i="59"/>
  <c r="I56" i="59" s="1"/>
  <c r="H115" i="60" l="1"/>
  <c r="I157" i="60" s="1"/>
  <c r="H123" i="61"/>
  <c r="I111" i="59"/>
  <c r="J176" i="59" l="1"/>
  <c r="M176" i="59"/>
  <c r="U176" i="59"/>
  <c r="AC176" i="59"/>
  <c r="Y176" i="59"/>
  <c r="N176" i="59"/>
  <c r="V176" i="59"/>
  <c r="X176" i="59"/>
  <c r="O176" i="59"/>
  <c r="W176" i="59"/>
  <c r="P176" i="59"/>
  <c r="L176" i="59"/>
  <c r="Q176" i="59"/>
  <c r="T176" i="59"/>
  <c r="R176" i="59"/>
  <c r="Z176" i="59"/>
  <c r="K176" i="59"/>
  <c r="S176" i="59"/>
  <c r="AA176" i="59"/>
  <c r="AB176" i="59"/>
  <c r="H62" i="61"/>
  <c r="H67" i="61" s="1"/>
  <c r="H59" i="61"/>
  <c r="H58" i="61"/>
  <c r="H69" i="61" l="1"/>
  <c r="H140" i="61" l="1"/>
  <c r="J130" i="61" l="1"/>
  <c r="I130" i="61"/>
  <c r="J128" i="61"/>
  <c r="I128" i="61"/>
  <c r="H75" i="61"/>
  <c r="H48" i="61"/>
  <c r="H142" i="61" s="1"/>
  <c r="I155" i="61" l="1"/>
  <c r="J155" i="61"/>
  <c r="H107" i="61"/>
  <c r="J202" i="61"/>
  <c r="I202" i="61"/>
  <c r="I147" i="61"/>
  <c r="J147" i="61"/>
  <c r="I146" i="61"/>
  <c r="J146" i="61"/>
  <c r="I153" i="61"/>
  <c r="J153" i="61"/>
  <c r="AB122" i="60"/>
  <c r="AA122" i="60"/>
  <c r="Z122" i="60"/>
  <c r="Y122" i="60"/>
  <c r="X122" i="60"/>
  <c r="W122" i="60"/>
  <c r="V122" i="60"/>
  <c r="U122" i="60"/>
  <c r="T122" i="60"/>
  <c r="S122" i="60"/>
  <c r="R122" i="60"/>
  <c r="Q122" i="60"/>
  <c r="P122" i="60"/>
  <c r="O122" i="60"/>
  <c r="N122" i="60"/>
  <c r="M122" i="60"/>
  <c r="L122" i="60"/>
  <c r="K122" i="60"/>
  <c r="J122" i="60"/>
  <c r="I122" i="60"/>
  <c r="AB120" i="60"/>
  <c r="AA120" i="60"/>
  <c r="Z120" i="60"/>
  <c r="Y120" i="60"/>
  <c r="X120" i="60"/>
  <c r="W120" i="60"/>
  <c r="V120" i="60"/>
  <c r="U120" i="60"/>
  <c r="T120" i="60"/>
  <c r="S120" i="60"/>
  <c r="R120" i="60"/>
  <c r="Q120" i="60"/>
  <c r="P120" i="60"/>
  <c r="O120" i="60"/>
  <c r="N120" i="60"/>
  <c r="M120" i="60"/>
  <c r="L120" i="60"/>
  <c r="K120" i="60"/>
  <c r="J120" i="60"/>
  <c r="I120" i="60"/>
  <c r="H67" i="60"/>
  <c r="H46" i="60"/>
  <c r="U146" i="60" l="1"/>
  <c r="M146" i="60"/>
  <c r="L146" i="60"/>
  <c r="N146" i="60"/>
  <c r="T146" i="60"/>
  <c r="V146" i="60"/>
  <c r="O146" i="60"/>
  <c r="W146" i="60"/>
  <c r="P146" i="60"/>
  <c r="X146" i="60"/>
  <c r="I146" i="60"/>
  <c r="Q146" i="60"/>
  <c r="Y146" i="60"/>
  <c r="J146" i="60"/>
  <c r="R146" i="60"/>
  <c r="Z146" i="60"/>
  <c r="K146" i="60"/>
  <c r="S146" i="60"/>
  <c r="AA146" i="60"/>
  <c r="AB146" i="60"/>
  <c r="H99" i="60"/>
  <c r="J149" i="61"/>
  <c r="J151" i="61"/>
  <c r="J163" i="61" s="1"/>
  <c r="I144" i="60"/>
  <c r="I151" i="61"/>
  <c r="I149" i="61"/>
  <c r="H132" i="60"/>
  <c r="I193" i="60" s="1"/>
  <c r="S144" i="60"/>
  <c r="O144" i="60"/>
  <c r="W144" i="60"/>
  <c r="P144" i="60"/>
  <c r="X144" i="60"/>
  <c r="Q144" i="60"/>
  <c r="Y144" i="60"/>
  <c r="J144" i="60"/>
  <c r="R144" i="60"/>
  <c r="Z144" i="60"/>
  <c r="K144" i="60"/>
  <c r="AA144" i="60"/>
  <c r="L144" i="60"/>
  <c r="T144" i="60"/>
  <c r="AB144" i="60"/>
  <c r="M144" i="60"/>
  <c r="U144" i="60"/>
  <c r="N144" i="60"/>
  <c r="V144" i="60"/>
  <c r="J168" i="61" l="1"/>
  <c r="J175" i="61" s="1"/>
  <c r="J177" i="61" s="1"/>
  <c r="J170" i="61"/>
  <c r="J173" i="61" s="1"/>
  <c r="J182" i="61"/>
  <c r="J180" i="61"/>
  <c r="J193" i="60"/>
  <c r="I163" i="61"/>
  <c r="I182" i="61"/>
  <c r="I180" i="61"/>
  <c r="K193" i="60"/>
  <c r="S193" i="60"/>
  <c r="AA193" i="60"/>
  <c r="L193" i="60"/>
  <c r="M193" i="60"/>
  <c r="U193" i="60"/>
  <c r="W193" i="60"/>
  <c r="R193" i="60"/>
  <c r="N193" i="60"/>
  <c r="V193" i="60"/>
  <c r="AB193" i="60"/>
  <c r="O193" i="60"/>
  <c r="Z193" i="60"/>
  <c r="P193" i="60"/>
  <c r="X193" i="60"/>
  <c r="Q193" i="60"/>
  <c r="Y193" i="60"/>
  <c r="T193" i="60"/>
  <c r="H135" i="60"/>
  <c r="H136" i="60"/>
  <c r="I168" i="61" l="1"/>
  <c r="I175" i="61" s="1"/>
  <c r="I177" i="61" s="1"/>
  <c r="I170" i="61"/>
  <c r="I173" i="61" s="1"/>
  <c r="H140" i="60"/>
  <c r="H138" i="60"/>
  <c r="I171" i="60" s="1"/>
  <c r="I179" i="60" s="1"/>
  <c r="I183" i="60" s="1"/>
  <c r="I186" i="60" s="1"/>
  <c r="J188" i="61" l="1"/>
  <c r="J192" i="61" s="1"/>
  <c r="J195" i="61" s="1"/>
  <c r="I188" i="61"/>
  <c r="I192" i="61" s="1"/>
  <c r="I195" i="61" s="1"/>
  <c r="O173" i="60"/>
  <c r="W173" i="60"/>
  <c r="K171" i="60"/>
  <c r="K179" i="60" s="1"/>
  <c r="K183" i="60" s="1"/>
  <c r="K186" i="60" s="1"/>
  <c r="S171" i="60"/>
  <c r="S179" i="60" s="1"/>
  <c r="S183" i="60" s="1"/>
  <c r="S186" i="60" s="1"/>
  <c r="AA171" i="60"/>
  <c r="AA179" i="60" s="1"/>
  <c r="AA183" i="60" s="1"/>
  <c r="AA186" i="60" s="1"/>
  <c r="L171" i="60"/>
  <c r="L179" i="60" s="1"/>
  <c r="L183" i="60" s="1"/>
  <c r="L186" i="60" s="1"/>
  <c r="Q173" i="60"/>
  <c r="Y173" i="60"/>
  <c r="M171" i="60"/>
  <c r="M179" i="60" s="1"/>
  <c r="M183" i="60" s="1"/>
  <c r="M186" i="60" s="1"/>
  <c r="U171" i="60"/>
  <c r="U179" i="60" s="1"/>
  <c r="U183" i="60" s="1"/>
  <c r="U186" i="60" s="1"/>
  <c r="S173" i="60"/>
  <c r="O171" i="60"/>
  <c r="O179" i="60" s="1"/>
  <c r="O183" i="60" s="1"/>
  <c r="O186" i="60" s="1"/>
  <c r="Z171" i="60"/>
  <c r="Z179" i="60" s="1"/>
  <c r="Z183" i="60" s="1"/>
  <c r="Z186" i="60" s="1"/>
  <c r="X173" i="60"/>
  <c r="J173" i="60"/>
  <c r="R173" i="60"/>
  <c r="Z173" i="60"/>
  <c r="N171" i="60"/>
  <c r="N179" i="60" s="1"/>
  <c r="N183" i="60" s="1"/>
  <c r="N186" i="60" s="1"/>
  <c r="V171" i="60"/>
  <c r="V179" i="60" s="1"/>
  <c r="V183" i="60" s="1"/>
  <c r="V186" i="60" s="1"/>
  <c r="AB171" i="60"/>
  <c r="AB179" i="60" s="1"/>
  <c r="AB183" i="60" s="1"/>
  <c r="AB186" i="60" s="1"/>
  <c r="K173" i="60"/>
  <c r="AA173" i="60"/>
  <c r="W171" i="60"/>
  <c r="W179" i="60" s="1"/>
  <c r="W183" i="60" s="1"/>
  <c r="W186" i="60" s="1"/>
  <c r="J171" i="60"/>
  <c r="J179" i="60" s="1"/>
  <c r="J183" i="60" s="1"/>
  <c r="J186" i="60" s="1"/>
  <c r="P173" i="60"/>
  <c r="L173" i="60"/>
  <c r="T173" i="60"/>
  <c r="AB173" i="60"/>
  <c r="P171" i="60"/>
  <c r="P179" i="60" s="1"/>
  <c r="P183" i="60" s="1"/>
  <c r="P186" i="60" s="1"/>
  <c r="X171" i="60"/>
  <c r="X179" i="60" s="1"/>
  <c r="X183" i="60" s="1"/>
  <c r="X186" i="60" s="1"/>
  <c r="N173" i="60"/>
  <c r="V173" i="60"/>
  <c r="M173" i="60"/>
  <c r="U173" i="60"/>
  <c r="I173" i="60"/>
  <c r="Q171" i="60"/>
  <c r="Q179" i="60" s="1"/>
  <c r="Q183" i="60" s="1"/>
  <c r="Q186" i="60" s="1"/>
  <c r="Y171" i="60"/>
  <c r="Y179" i="60" s="1"/>
  <c r="Y183" i="60" s="1"/>
  <c r="Y186" i="60" s="1"/>
  <c r="R171" i="60"/>
  <c r="R179" i="60" s="1"/>
  <c r="R183" i="60" s="1"/>
  <c r="R186" i="60" s="1"/>
  <c r="T171" i="60"/>
  <c r="T179" i="60" s="1"/>
  <c r="T183" i="60" s="1"/>
  <c r="T186" i="60" s="1"/>
  <c r="Q154" i="60"/>
  <c r="Q161" i="60" s="1"/>
  <c r="Q164" i="60" s="1"/>
  <c r="Y154" i="60"/>
  <c r="Y161" i="60" s="1"/>
  <c r="Y164" i="60" s="1"/>
  <c r="R154" i="60"/>
  <c r="R161" i="60" s="1"/>
  <c r="R164" i="60" s="1"/>
  <c r="K154" i="60"/>
  <c r="K161" i="60" s="1"/>
  <c r="K164" i="60" s="1"/>
  <c r="S154" i="60"/>
  <c r="S161" i="60" s="1"/>
  <c r="S164" i="60" s="1"/>
  <c r="AA154" i="60"/>
  <c r="AA161" i="60" s="1"/>
  <c r="AA164" i="60" s="1"/>
  <c r="U154" i="60"/>
  <c r="U161" i="60" s="1"/>
  <c r="U164" i="60" s="1"/>
  <c r="X154" i="60"/>
  <c r="X161" i="60" s="1"/>
  <c r="X164" i="60" s="1"/>
  <c r="Z154" i="60"/>
  <c r="Z161" i="60" s="1"/>
  <c r="Z164" i="60" s="1"/>
  <c r="L154" i="60"/>
  <c r="L161" i="60" s="1"/>
  <c r="L164" i="60" s="1"/>
  <c r="T154" i="60"/>
  <c r="T161" i="60" s="1"/>
  <c r="T164" i="60" s="1"/>
  <c r="AB154" i="60"/>
  <c r="AB161" i="60" s="1"/>
  <c r="AB164" i="60" s="1"/>
  <c r="M154" i="60"/>
  <c r="M161" i="60" s="1"/>
  <c r="M164" i="60" s="1"/>
  <c r="I154" i="60"/>
  <c r="I161" i="60" s="1"/>
  <c r="I164" i="60" s="1"/>
  <c r="P154" i="60"/>
  <c r="P161" i="60" s="1"/>
  <c r="P164" i="60" s="1"/>
  <c r="J154" i="60"/>
  <c r="J161" i="60" s="1"/>
  <c r="J164" i="60" s="1"/>
  <c r="N154" i="60"/>
  <c r="N161" i="60" s="1"/>
  <c r="N164" i="60" s="1"/>
  <c r="V154" i="60"/>
  <c r="V161" i="60" s="1"/>
  <c r="V164" i="60" s="1"/>
  <c r="O154" i="60"/>
  <c r="O161" i="60" s="1"/>
  <c r="O164" i="60" s="1"/>
  <c r="W154" i="60"/>
  <c r="W161" i="60" s="1"/>
  <c r="W164" i="60" s="1"/>
  <c r="I190" i="61" l="1"/>
  <c r="I197" i="61" s="1"/>
  <c r="I199" i="61" s="1"/>
  <c r="J190" i="61"/>
  <c r="J197" i="61" s="1"/>
  <c r="J199" i="61" s="1"/>
  <c r="S159" i="60"/>
  <c r="S166" i="60" s="1"/>
  <c r="S168" i="60" s="1"/>
  <c r="U159" i="60"/>
  <c r="U166" i="60" s="1"/>
  <c r="U168" i="60" s="1"/>
  <c r="P181" i="60"/>
  <c r="P188" i="60" s="1"/>
  <c r="P190" i="60" s="1"/>
  <c r="S181" i="60"/>
  <c r="S188" i="60" s="1"/>
  <c r="S190" i="60" s="1"/>
  <c r="O159" i="60"/>
  <c r="O166" i="60" s="1"/>
  <c r="O168" i="60" s="1"/>
  <c r="V159" i="60"/>
  <c r="V166" i="60" s="1"/>
  <c r="V168" i="60" s="1"/>
  <c r="L159" i="60"/>
  <c r="L166" i="60" s="1"/>
  <c r="L168" i="60" s="1"/>
  <c r="AA159" i="60"/>
  <c r="AA166" i="60" s="1"/>
  <c r="AA168" i="60" s="1"/>
  <c r="N159" i="60"/>
  <c r="N166" i="60" s="1"/>
  <c r="N168" i="60" s="1"/>
  <c r="Z159" i="60"/>
  <c r="Z166" i="60" s="1"/>
  <c r="Z168" i="60" s="1"/>
  <c r="I181" i="60"/>
  <c r="I188" i="60" s="1"/>
  <c r="I190" i="60" s="1"/>
  <c r="Z181" i="60"/>
  <c r="Z188" i="60" s="1"/>
  <c r="Z190" i="60" s="1"/>
  <c r="V181" i="60"/>
  <c r="V188" i="60" s="1"/>
  <c r="V190" i="60" s="1"/>
  <c r="O181" i="60"/>
  <c r="O188" i="60" s="1"/>
  <c r="O190" i="60" s="1"/>
  <c r="W181" i="60"/>
  <c r="W188" i="60" s="1"/>
  <c r="W190" i="60" s="1"/>
  <c r="X181" i="60"/>
  <c r="X188" i="60" s="1"/>
  <c r="X190" i="60" s="1"/>
  <c r="N181" i="60"/>
  <c r="N188" i="60" s="1"/>
  <c r="N190" i="60" s="1"/>
  <c r="L181" i="60"/>
  <c r="L188" i="60" s="1"/>
  <c r="L190" i="60" s="1"/>
  <c r="M181" i="60"/>
  <c r="M188" i="60" s="1"/>
  <c r="M190" i="60" s="1"/>
  <c r="Y181" i="60"/>
  <c r="Y188" i="60" s="1"/>
  <c r="Y190" i="60" s="1"/>
  <c r="AB181" i="60"/>
  <c r="AB188" i="60" s="1"/>
  <c r="AB190" i="60" s="1"/>
  <c r="J181" i="60"/>
  <c r="J188" i="60" s="1"/>
  <c r="J190" i="60" s="1"/>
  <c r="AA181" i="60"/>
  <c r="AA188" i="60" s="1"/>
  <c r="AA190" i="60" s="1"/>
  <c r="Q181" i="60"/>
  <c r="Q188" i="60" s="1"/>
  <c r="Q190" i="60" s="1"/>
  <c r="R181" i="60"/>
  <c r="R188" i="60" s="1"/>
  <c r="R190" i="60" s="1"/>
  <c r="U181" i="60"/>
  <c r="U188" i="60" s="1"/>
  <c r="U190" i="60" s="1"/>
  <c r="K181" i="60"/>
  <c r="K188" i="60" s="1"/>
  <c r="K190" i="60" s="1"/>
  <c r="T181" i="60"/>
  <c r="T188" i="60" s="1"/>
  <c r="T190" i="60" s="1"/>
  <c r="I159" i="60" l="1"/>
  <c r="I166" i="60" s="1"/>
  <c r="I168" i="60" s="1"/>
  <c r="P159" i="60"/>
  <c r="P166" i="60" s="1"/>
  <c r="P168" i="60" s="1"/>
  <c r="Y159" i="60"/>
  <c r="Y166" i="60" s="1"/>
  <c r="Y168" i="60" s="1"/>
  <c r="J159" i="60"/>
  <c r="J166" i="60" s="1"/>
  <c r="J168" i="60" s="1"/>
  <c r="X159" i="60"/>
  <c r="X166" i="60" s="1"/>
  <c r="X168" i="60" s="1"/>
  <c r="T159" i="60"/>
  <c r="T166" i="60" s="1"/>
  <c r="T168" i="60" s="1"/>
  <c r="Q159" i="60"/>
  <c r="Q166" i="60" s="1"/>
  <c r="Q168" i="60" s="1"/>
  <c r="R159" i="60"/>
  <c r="R166" i="60" s="1"/>
  <c r="R168" i="60" s="1"/>
  <c r="K159" i="60"/>
  <c r="K166" i="60" s="1"/>
  <c r="K168" i="60" s="1"/>
  <c r="M159" i="60"/>
  <c r="M166" i="60" s="1"/>
  <c r="M168" i="60" s="1"/>
  <c r="AB159" i="60"/>
  <c r="AB166" i="60" s="1"/>
  <c r="AB168" i="60" s="1"/>
  <c r="W159" i="60"/>
  <c r="W166" i="60" s="1"/>
  <c r="W168" i="60" s="1"/>
  <c r="AC133" i="59" l="1"/>
  <c r="AB133" i="59"/>
  <c r="AA133" i="59"/>
  <c r="Z133" i="59"/>
  <c r="Y133" i="59"/>
  <c r="X133" i="59"/>
  <c r="W133" i="59"/>
  <c r="V133" i="59"/>
  <c r="U133" i="59"/>
  <c r="T133" i="59"/>
  <c r="S133" i="59"/>
  <c r="R133" i="59"/>
  <c r="Q133" i="59"/>
  <c r="P133" i="59"/>
  <c r="O133" i="59"/>
  <c r="N133" i="59"/>
  <c r="M133" i="59"/>
  <c r="L133" i="59"/>
  <c r="K133" i="59"/>
  <c r="AC131" i="59"/>
  <c r="AB131" i="59"/>
  <c r="AA131" i="59"/>
  <c r="Z131" i="59"/>
  <c r="Y131" i="59"/>
  <c r="X131" i="59"/>
  <c r="W131" i="59"/>
  <c r="V131" i="59"/>
  <c r="U131" i="59"/>
  <c r="T131" i="59"/>
  <c r="S131" i="59"/>
  <c r="R131" i="59"/>
  <c r="Q131" i="59"/>
  <c r="P131" i="59"/>
  <c r="O131" i="59"/>
  <c r="N131" i="59"/>
  <c r="M131" i="59"/>
  <c r="L131" i="59"/>
  <c r="K131" i="59"/>
  <c r="AC123" i="59"/>
  <c r="AC148" i="59" s="1"/>
  <c r="AB123" i="59"/>
  <c r="AB148" i="59" s="1"/>
  <c r="AA123" i="59"/>
  <c r="AA148" i="59" s="1"/>
  <c r="Z123" i="59"/>
  <c r="Z148" i="59" s="1"/>
  <c r="Y123" i="59"/>
  <c r="Y148" i="59" s="1"/>
  <c r="X123" i="59"/>
  <c r="X148" i="59" s="1"/>
  <c r="W123" i="59"/>
  <c r="W148" i="59" s="1"/>
  <c r="V123" i="59"/>
  <c r="V148" i="59" s="1"/>
  <c r="U123" i="59"/>
  <c r="U148" i="59" s="1"/>
  <c r="T123" i="59"/>
  <c r="T148" i="59" s="1"/>
  <c r="S123" i="59"/>
  <c r="S148" i="59" s="1"/>
  <c r="R123" i="59"/>
  <c r="R148" i="59" s="1"/>
  <c r="Q123" i="59"/>
  <c r="Q148" i="59" s="1"/>
  <c r="P123" i="59"/>
  <c r="P148" i="59" s="1"/>
  <c r="O123" i="59"/>
  <c r="O148" i="59" s="1"/>
  <c r="N123" i="59"/>
  <c r="N148" i="59" s="1"/>
  <c r="M123" i="59"/>
  <c r="M148" i="59" s="1"/>
  <c r="L123" i="59"/>
  <c r="L148" i="59" s="1"/>
  <c r="K123" i="59"/>
  <c r="K148" i="59" s="1"/>
  <c r="I63" i="59"/>
  <c r="Q164" i="59" l="1"/>
  <c r="R164" i="59"/>
  <c r="K164" i="59"/>
  <c r="Z164" i="59"/>
  <c r="S164" i="59"/>
  <c r="AA164" i="59"/>
  <c r="Y164" i="59"/>
  <c r="L164" i="59"/>
  <c r="T164" i="59"/>
  <c r="AB164" i="59"/>
  <c r="M164" i="59"/>
  <c r="U164" i="59"/>
  <c r="AC164" i="59"/>
  <c r="N164" i="59"/>
  <c r="V164" i="59"/>
  <c r="O164" i="59"/>
  <c r="W164" i="59"/>
  <c r="P164" i="59"/>
  <c r="X164" i="59"/>
  <c r="J162" i="59"/>
  <c r="I95" i="59"/>
  <c r="AC162" i="59"/>
  <c r="K162" i="59"/>
  <c r="S162" i="59"/>
  <c r="AA162" i="59"/>
  <c r="L162" i="59"/>
  <c r="T162" i="59"/>
  <c r="AB162" i="59"/>
  <c r="U162" i="59"/>
  <c r="M162" i="59"/>
  <c r="R162" i="59"/>
  <c r="Z162" i="59"/>
  <c r="N162" i="59"/>
  <c r="V162" i="59"/>
  <c r="O162" i="59"/>
  <c r="W162" i="59"/>
  <c r="P162" i="59"/>
  <c r="X162" i="59"/>
  <c r="Q162" i="59"/>
  <c r="Y162" i="59"/>
  <c r="O197" i="59" l="1"/>
  <c r="W197" i="59"/>
  <c r="P197" i="59"/>
  <c r="X197" i="59"/>
  <c r="Q197" i="59"/>
  <c r="Y197" i="59"/>
  <c r="R197" i="59"/>
  <c r="Z197" i="59"/>
  <c r="J197" i="59"/>
  <c r="K197" i="59"/>
  <c r="S197" i="59"/>
  <c r="AA197" i="59"/>
  <c r="L197" i="59"/>
  <c r="T197" i="59"/>
  <c r="AB197" i="59"/>
  <c r="M197" i="59"/>
  <c r="U197" i="59"/>
  <c r="AC197" i="59"/>
  <c r="N197" i="59"/>
  <c r="V197" i="59"/>
  <c r="E48" i="52"/>
  <c r="E47" i="52"/>
  <c r="E32" i="52"/>
  <c r="E56" i="52" l="1"/>
  <c r="E76" i="52" s="1"/>
  <c r="E55" i="52"/>
  <c r="E75" i="52" s="1"/>
  <c r="E51" i="52"/>
  <c r="E52" i="52"/>
  <c r="E70" i="52" l="1"/>
  <c r="E66" i="52"/>
  <c r="E65" i="52"/>
  <c r="E69" i="52"/>
  <c r="F48" i="3" l="1"/>
  <c r="G48" i="3"/>
  <c r="H48" i="3"/>
  <c r="I48" i="3"/>
  <c r="J48" i="3"/>
  <c r="K48" i="3"/>
  <c r="L48" i="3"/>
  <c r="M48" i="3"/>
  <c r="N48" i="3"/>
  <c r="O48" i="3"/>
  <c r="P48" i="3"/>
  <c r="Q48" i="3"/>
  <c r="R48" i="3"/>
  <c r="S48" i="3"/>
  <c r="T48" i="3"/>
  <c r="U48" i="3"/>
  <c r="V48" i="3"/>
  <c r="E48" i="3"/>
  <c r="D48" i="3"/>
  <c r="C49" i="3"/>
  <c r="C50" i="3"/>
  <c r="J123" i="59" s="1"/>
  <c r="J148" i="59" s="1"/>
  <c r="C48" i="3" l="1"/>
  <c r="G19" i="3" l="1"/>
  <c r="K19" i="3" s="1"/>
  <c r="G17" i="3"/>
  <c r="K17" i="3" s="1"/>
  <c r="G18" i="3"/>
  <c r="K18" i="3" s="1"/>
  <c r="G20" i="3"/>
  <c r="K20" i="3" s="1"/>
  <c r="G21" i="3"/>
  <c r="K21" i="3" s="1"/>
  <c r="G22" i="3"/>
  <c r="K22" i="3" s="1"/>
  <c r="G23" i="3"/>
  <c r="K23" i="3" s="1"/>
  <c r="G24" i="3"/>
  <c r="K24" i="3" s="1"/>
  <c r="G25" i="3"/>
  <c r="K25" i="3" s="1"/>
  <c r="G26" i="3"/>
  <c r="K26" i="3" s="1"/>
  <c r="G27" i="3"/>
  <c r="K27" i="3" s="1"/>
  <c r="G28" i="3"/>
  <c r="K28" i="3" s="1"/>
  <c r="G29" i="3"/>
  <c r="K29" i="3" s="1"/>
  <c r="G30" i="3"/>
  <c r="K30" i="3" s="1"/>
  <c r="G31" i="3"/>
  <c r="K31" i="3" s="1"/>
  <c r="G32" i="3"/>
  <c r="K32" i="3" s="1"/>
  <c r="G33" i="3"/>
  <c r="K33" i="3" s="1"/>
  <c r="G34" i="3"/>
  <c r="K34" i="3" s="1"/>
  <c r="G35" i="3"/>
  <c r="K35" i="3" s="1"/>
  <c r="G16" i="3"/>
  <c r="K16" i="3" s="1"/>
  <c r="U154" i="59" l="1"/>
  <c r="U216" i="59" s="1"/>
  <c r="N152" i="59"/>
  <c r="J220" i="59"/>
  <c r="Z151" i="59"/>
  <c r="Z159" i="59" s="1"/>
  <c r="P220" i="59"/>
  <c r="X154" i="59"/>
  <c r="X216" i="59" s="1"/>
  <c r="AC152" i="59"/>
  <c r="S152" i="59"/>
  <c r="Q154" i="59"/>
  <c r="Q216" i="59" s="1"/>
  <c r="W152" i="59"/>
  <c r="T220" i="59"/>
  <c r="Y154" i="59"/>
  <c r="Y216" i="59" s="1"/>
  <c r="AB153" i="59"/>
  <c r="AB160" i="59" s="1"/>
  <c r="R154" i="59"/>
  <c r="R216" i="59" s="1"/>
  <c r="Z153" i="59" l="1"/>
  <c r="Z152" i="59"/>
  <c r="W220" i="59"/>
  <c r="Q220" i="59"/>
  <c r="N220" i="59"/>
  <c r="X153" i="59"/>
  <c r="AA152" i="59"/>
  <c r="U151" i="59"/>
  <c r="U159" i="59" s="1"/>
  <c r="AB220" i="59"/>
  <c r="N151" i="59"/>
  <c r="AB154" i="59"/>
  <c r="AB216" i="59" s="1"/>
  <c r="X152" i="59"/>
  <c r="N154" i="59"/>
  <c r="N216" i="59" s="1"/>
  <c r="U153" i="59"/>
  <c r="P153" i="59"/>
  <c r="P160" i="59" s="1"/>
  <c r="P154" i="59"/>
  <c r="P216" i="59" s="1"/>
  <c r="P152" i="59"/>
  <c r="V154" i="59"/>
  <c r="V216" i="59" s="1"/>
  <c r="V220" i="59"/>
  <c r="V152" i="59"/>
  <c r="V153" i="59"/>
  <c r="V160" i="59" s="1"/>
  <c r="V151" i="59"/>
  <c r="V159" i="59" s="1"/>
  <c r="R151" i="59"/>
  <c r="R159" i="59" s="1"/>
  <c r="R152" i="59"/>
  <c r="R220" i="59"/>
  <c r="R153" i="59"/>
  <c r="R160" i="59" s="1"/>
  <c r="AC220" i="59"/>
  <c r="AC153" i="59"/>
  <c r="AC160" i="59" s="1"/>
  <c r="AC154" i="59"/>
  <c r="AC216" i="59" s="1"/>
  <c r="AC151" i="59"/>
  <c r="AC159" i="59" s="1"/>
  <c r="J154" i="59"/>
  <c r="J216" i="59" s="1"/>
  <c r="J152" i="59"/>
  <c r="J151" i="59"/>
  <c r="J159" i="59" s="1"/>
  <c r="J153" i="59"/>
  <c r="J160" i="59" s="1"/>
  <c r="P151" i="59"/>
  <c r="P159" i="59" s="1"/>
  <c r="K151" i="59"/>
  <c r="K159" i="59" s="1"/>
  <c r="K220" i="59"/>
  <c r="K153" i="59"/>
  <c r="K160" i="59" s="1"/>
  <c r="K152" i="59"/>
  <c r="T151" i="59"/>
  <c r="T159" i="59" s="1"/>
  <c r="T152" i="59"/>
  <c r="T153" i="59"/>
  <c r="T160" i="59" s="1"/>
  <c r="K154" i="59"/>
  <c r="K216" i="59" s="1"/>
  <c r="Z156" i="59"/>
  <c r="O154" i="59"/>
  <c r="O216" i="59" s="1"/>
  <c r="O153" i="59"/>
  <c r="O160" i="59" s="1"/>
  <c r="O151" i="59"/>
  <c r="O159" i="59" s="1"/>
  <c r="O152" i="59"/>
  <c r="M151" i="59"/>
  <c r="M159" i="59" s="1"/>
  <c r="M153" i="59"/>
  <c r="M160" i="59" s="1"/>
  <c r="M154" i="59"/>
  <c r="M216" i="59" s="1"/>
  <c r="M220" i="59"/>
  <c r="O220" i="59"/>
  <c r="M152" i="59"/>
  <c r="AB157" i="59"/>
  <c r="T154" i="59"/>
  <c r="T216" i="59" s="1"/>
  <c r="Y220" i="59"/>
  <c r="Y152" i="59"/>
  <c r="Y151" i="59"/>
  <c r="Y159" i="59" s="1"/>
  <c r="Y153" i="59"/>
  <c r="Y160" i="59" s="1"/>
  <c r="L151" i="59"/>
  <c r="L159" i="59" s="1"/>
  <c r="L152" i="59"/>
  <c r="L153" i="59"/>
  <c r="L160" i="59" s="1"/>
  <c r="L154" i="59"/>
  <c r="L216" i="59" s="1"/>
  <c r="W153" i="59"/>
  <c r="W160" i="59" s="1"/>
  <c r="W154" i="59"/>
  <c r="W216" i="59" s="1"/>
  <c r="W151" i="59"/>
  <c r="W159" i="59" s="1"/>
  <c r="S154" i="59"/>
  <c r="S216" i="59" s="1"/>
  <c r="S153" i="59"/>
  <c r="S160" i="59" s="1"/>
  <c r="S151" i="59"/>
  <c r="S159" i="59" s="1"/>
  <c r="S220" i="59"/>
  <c r="L220" i="59"/>
  <c r="AA153" i="59"/>
  <c r="AA160" i="59" s="1"/>
  <c r="AA154" i="59"/>
  <c r="AA216" i="59" s="1"/>
  <c r="AA220" i="59"/>
  <c r="AA151" i="59"/>
  <c r="AA159" i="59" s="1"/>
  <c r="Q151" i="59"/>
  <c r="Q159" i="59" s="1"/>
  <c r="AB151" i="59"/>
  <c r="AB159" i="59" s="1"/>
  <c r="Q153" i="59"/>
  <c r="Q160" i="59" s="1"/>
  <c r="N153" i="59"/>
  <c r="N160" i="59" s="1"/>
  <c r="AB152" i="59"/>
  <c r="Q152" i="59"/>
  <c r="X220" i="59"/>
  <c r="Z220" i="59"/>
  <c r="U220" i="59"/>
  <c r="X151" i="59"/>
  <c r="X159" i="59" s="1"/>
  <c r="Z154" i="59"/>
  <c r="Z216" i="59" s="1"/>
  <c r="U152" i="59"/>
  <c r="U157" i="59" l="1"/>
  <c r="U194" i="59" s="1"/>
  <c r="U160" i="59"/>
  <c r="X157" i="59"/>
  <c r="X160" i="59"/>
  <c r="N156" i="59"/>
  <c r="N159" i="59"/>
  <c r="Z157" i="59"/>
  <c r="Z194" i="59" s="1"/>
  <c r="Z160" i="59"/>
  <c r="AB173" i="59"/>
  <c r="U156" i="59"/>
  <c r="X156" i="59"/>
  <c r="S156" i="59"/>
  <c r="M157" i="59"/>
  <c r="AB194" i="59"/>
  <c r="AB192" i="59"/>
  <c r="AB200" i="59" s="1"/>
  <c r="J156" i="59"/>
  <c r="L156" i="59"/>
  <c r="O156" i="59"/>
  <c r="K156" i="59"/>
  <c r="AA157" i="59"/>
  <c r="Y157" i="59"/>
  <c r="O157" i="59"/>
  <c r="R156" i="59"/>
  <c r="AB156" i="59"/>
  <c r="L157" i="59"/>
  <c r="W156" i="59"/>
  <c r="T157" i="59"/>
  <c r="N157" i="59"/>
  <c r="W157" i="59"/>
  <c r="Y156" i="59"/>
  <c r="AC156" i="59"/>
  <c r="Q156" i="59"/>
  <c r="K157" i="59"/>
  <c r="V157" i="59"/>
  <c r="S157" i="59"/>
  <c r="M156" i="59"/>
  <c r="R157" i="59"/>
  <c r="Q157" i="59"/>
  <c r="T156" i="59"/>
  <c r="P156" i="59"/>
  <c r="X194" i="59"/>
  <c r="X192" i="59"/>
  <c r="X200" i="59" s="1"/>
  <c r="J157" i="59"/>
  <c r="J173" i="59"/>
  <c r="AC157" i="59"/>
  <c r="V156" i="59"/>
  <c r="P157" i="59"/>
  <c r="AA156" i="59"/>
  <c r="U192" i="59" l="1"/>
  <c r="U200" i="59" s="1"/>
  <c r="Z192" i="59"/>
  <c r="Z200" i="59" s="1"/>
  <c r="Z204" i="59" s="1"/>
  <c r="Z208" i="59" s="1"/>
  <c r="AB180" i="59"/>
  <c r="AB184" i="59" s="1"/>
  <c r="AB178" i="59"/>
  <c r="AB186" i="59" s="1"/>
  <c r="AB188" i="59" s="1"/>
  <c r="P173" i="59"/>
  <c r="M173" i="59"/>
  <c r="AC173" i="59"/>
  <c r="Y173" i="59"/>
  <c r="U173" i="59"/>
  <c r="S173" i="59"/>
  <c r="N173" i="59"/>
  <c r="X173" i="59"/>
  <c r="W173" i="59"/>
  <c r="O173" i="59"/>
  <c r="Z173" i="59"/>
  <c r="L173" i="59"/>
  <c r="AA173" i="59"/>
  <c r="Q173" i="59"/>
  <c r="V173" i="59"/>
  <c r="T173" i="59"/>
  <c r="R173" i="59"/>
  <c r="K173" i="59"/>
  <c r="J194" i="59"/>
  <c r="J192" i="59"/>
  <c r="J200" i="59" s="1"/>
  <c r="J180" i="59"/>
  <c r="J184" i="59" s="1"/>
  <c r="AB204" i="59"/>
  <c r="AB208" i="59" s="1"/>
  <c r="X204" i="59"/>
  <c r="X208" i="59" s="1"/>
  <c r="U204" i="59"/>
  <c r="U208" i="59" s="1"/>
  <c r="N192" i="59"/>
  <c r="N200" i="59" s="1"/>
  <c r="N194" i="59"/>
  <c r="P192" i="59"/>
  <c r="P200" i="59" s="1"/>
  <c r="P194" i="59"/>
  <c r="Q194" i="59"/>
  <c r="Q192" i="59"/>
  <c r="Q200" i="59" s="1"/>
  <c r="V194" i="59"/>
  <c r="V192" i="59"/>
  <c r="V200" i="59" s="1"/>
  <c r="T194" i="59"/>
  <c r="T192" i="59"/>
  <c r="T200" i="59" s="1"/>
  <c r="O192" i="59"/>
  <c r="O200" i="59" s="1"/>
  <c r="O194" i="59"/>
  <c r="M192" i="59"/>
  <c r="M200" i="59" s="1"/>
  <c r="M194" i="59"/>
  <c r="S192" i="59"/>
  <c r="S200" i="59" s="1"/>
  <c r="S194" i="59"/>
  <c r="L192" i="59"/>
  <c r="L200" i="59" s="1"/>
  <c r="L194" i="59"/>
  <c r="R194" i="59"/>
  <c r="R192" i="59"/>
  <c r="R200" i="59" s="1"/>
  <c r="Y192" i="59"/>
  <c r="Y200" i="59" s="1"/>
  <c r="Y194" i="59"/>
  <c r="K194" i="59"/>
  <c r="K192" i="59"/>
  <c r="K200" i="59" s="1"/>
  <c r="AC194" i="59"/>
  <c r="AC192" i="59"/>
  <c r="AC200" i="59" s="1"/>
  <c r="W194" i="59"/>
  <c r="W192" i="59"/>
  <c r="W200" i="59" s="1"/>
  <c r="AA194" i="59"/>
  <c r="AA192" i="59"/>
  <c r="AA200" i="59" s="1"/>
  <c r="AA180" i="59" l="1"/>
  <c r="AA184" i="59" s="1"/>
  <c r="AA178" i="59"/>
  <c r="AA186" i="59" s="1"/>
  <c r="AA188" i="59" s="1"/>
  <c r="AC180" i="59"/>
  <c r="AC184" i="59" s="1"/>
  <c r="AC178" i="59"/>
  <c r="AC186" i="59" s="1"/>
  <c r="AC188" i="59" s="1"/>
  <c r="M180" i="59"/>
  <c r="M184" i="59" s="1"/>
  <c r="M178" i="59"/>
  <c r="M186" i="59" s="1"/>
  <c r="M188" i="59" s="1"/>
  <c r="S180" i="59"/>
  <c r="S184" i="59" s="1"/>
  <c r="S178" i="59"/>
  <c r="S186" i="59" s="1"/>
  <c r="S188" i="59" s="1"/>
  <c r="Y180" i="59"/>
  <c r="Y184" i="59" s="1"/>
  <c r="Y178" i="59"/>
  <c r="Y186" i="59" s="1"/>
  <c r="Y188" i="59" s="1"/>
  <c r="O180" i="59"/>
  <c r="O184" i="59" s="1"/>
  <c r="O178" i="59"/>
  <c r="O186" i="59" s="1"/>
  <c r="O188" i="59" s="1"/>
  <c r="W180" i="59"/>
  <c r="W184" i="59" s="1"/>
  <c r="W178" i="59"/>
  <c r="W186" i="59" s="1"/>
  <c r="W188" i="59" s="1"/>
  <c r="P180" i="59"/>
  <c r="P184" i="59" s="1"/>
  <c r="P178" i="59"/>
  <c r="P186" i="59" s="1"/>
  <c r="P188" i="59" s="1"/>
  <c r="Q180" i="59"/>
  <c r="Q184" i="59" s="1"/>
  <c r="Q178" i="59"/>
  <c r="Q186" i="59" s="1"/>
  <c r="Q188" i="59" s="1"/>
  <c r="U180" i="59"/>
  <c r="U184" i="59" s="1"/>
  <c r="U178" i="59"/>
  <c r="U186" i="59" s="1"/>
  <c r="U188" i="59" s="1"/>
  <c r="Z180" i="59"/>
  <c r="Z184" i="59" s="1"/>
  <c r="Z178" i="59"/>
  <c r="Z186" i="59" s="1"/>
  <c r="Z188" i="59" s="1"/>
  <c r="R180" i="59"/>
  <c r="R184" i="59" s="1"/>
  <c r="R178" i="59"/>
  <c r="R186" i="59" s="1"/>
  <c r="R188" i="59" s="1"/>
  <c r="T180" i="59"/>
  <c r="T184" i="59" s="1"/>
  <c r="T178" i="59"/>
  <c r="T186" i="59" s="1"/>
  <c r="T188" i="59" s="1"/>
  <c r="X180" i="59"/>
  <c r="X184" i="59" s="1"/>
  <c r="X178" i="59"/>
  <c r="X186" i="59" s="1"/>
  <c r="X188" i="59" s="1"/>
  <c r="L180" i="59"/>
  <c r="L184" i="59" s="1"/>
  <c r="L178" i="59"/>
  <c r="L186" i="59" s="1"/>
  <c r="L188" i="59" s="1"/>
  <c r="K180" i="59"/>
  <c r="K184" i="59" s="1"/>
  <c r="K178" i="59"/>
  <c r="K186" i="59" s="1"/>
  <c r="K188" i="59" s="1"/>
  <c r="V180" i="59"/>
  <c r="V184" i="59" s="1"/>
  <c r="V178" i="59"/>
  <c r="V186" i="59" s="1"/>
  <c r="V188" i="59" s="1"/>
  <c r="N180" i="59"/>
  <c r="N184" i="59" s="1"/>
  <c r="N178" i="59"/>
  <c r="N186" i="59" s="1"/>
  <c r="N188" i="59" s="1"/>
  <c r="Z202" i="59"/>
  <c r="Z210" i="59" s="1"/>
  <c r="Z212" i="59" s="1"/>
  <c r="J178" i="59"/>
  <c r="J186" i="59" s="1"/>
  <c r="J188" i="59" s="1"/>
  <c r="AB202" i="59"/>
  <c r="AB210" i="59" s="1"/>
  <c r="AB212" i="59" s="1"/>
  <c r="U202" i="59"/>
  <c r="U210" i="59" s="1"/>
  <c r="U212" i="59" s="1"/>
  <c r="X202" i="59"/>
  <c r="X210" i="59" s="1"/>
  <c r="X212" i="59" s="1"/>
  <c r="T204" i="59"/>
  <c r="T208" i="59" s="1"/>
  <c r="N204" i="59"/>
  <c r="N208" i="59" s="1"/>
  <c r="S204" i="59"/>
  <c r="S208" i="59" s="1"/>
  <c r="P204" i="59"/>
  <c r="P208" i="59" s="1"/>
  <c r="AA204" i="59"/>
  <c r="AA208" i="59" s="1"/>
  <c r="R204" i="59"/>
  <c r="R208" i="59" s="1"/>
  <c r="W204" i="59"/>
  <c r="W208" i="59" s="1"/>
  <c r="V204" i="59"/>
  <c r="V208" i="59" s="1"/>
  <c r="Y204" i="59"/>
  <c r="Y208" i="59" s="1"/>
  <c r="Q204" i="59"/>
  <c r="Q208" i="59" s="1"/>
  <c r="AC204" i="59"/>
  <c r="AC208" i="59" s="1"/>
  <c r="O204" i="59"/>
  <c r="O208" i="59" s="1"/>
  <c r="M204" i="59"/>
  <c r="M208" i="59" s="1"/>
  <c r="L204" i="59"/>
  <c r="L208" i="59" s="1"/>
  <c r="K204" i="59"/>
  <c r="K208" i="59" s="1"/>
  <c r="J204" i="59" l="1"/>
  <c r="J208" i="59" s="1"/>
  <c r="J202" i="59"/>
  <c r="J210" i="59" s="1"/>
  <c r="J212" i="59" s="1"/>
  <c r="O202" i="59"/>
  <c r="O210" i="59" s="1"/>
  <c r="O212" i="59" s="1"/>
  <c r="V202" i="59"/>
  <c r="V210" i="59" s="1"/>
  <c r="V212" i="59" s="1"/>
  <c r="Q202" i="59"/>
  <c r="Q210" i="59" s="1"/>
  <c r="Q212" i="59" s="1"/>
  <c r="R202" i="59"/>
  <c r="R210" i="59" s="1"/>
  <c r="R212" i="59" s="1"/>
  <c r="Y202" i="59"/>
  <c r="Y210" i="59" s="1"/>
  <c r="Y212" i="59" s="1"/>
  <c r="AA202" i="59"/>
  <c r="AA210" i="59" s="1"/>
  <c r="AA212" i="59" s="1"/>
  <c r="W202" i="59"/>
  <c r="W210" i="59" s="1"/>
  <c r="W212" i="59" s="1"/>
  <c r="AC202" i="59"/>
  <c r="AC210" i="59" s="1"/>
  <c r="AC212" i="59" s="1"/>
  <c r="P202" i="59"/>
  <c r="P210" i="59" s="1"/>
  <c r="P212" i="59" s="1"/>
  <c r="S202" i="59"/>
  <c r="S210" i="59" s="1"/>
  <c r="S212" i="59" s="1"/>
  <c r="N202" i="59"/>
  <c r="N210" i="59" s="1"/>
  <c r="N212" i="59" s="1"/>
  <c r="T202" i="59"/>
  <c r="T210" i="59" s="1"/>
  <c r="T212" i="59" s="1"/>
  <c r="L202" i="59"/>
  <c r="L210" i="59" s="1"/>
  <c r="L212" i="59" s="1"/>
  <c r="K202" i="59"/>
  <c r="K210" i="59" s="1"/>
  <c r="K212" i="59" s="1"/>
  <c r="M202" i="59"/>
  <c r="M210" i="59" s="1"/>
  <c r="M212" i="59" s="1"/>
</calcChain>
</file>

<file path=xl/sharedStrings.xml><?xml version="1.0" encoding="utf-8"?>
<sst xmlns="http://schemas.openxmlformats.org/spreadsheetml/2006/main" count="2813" uniqueCount="620">
  <si>
    <t>Input</t>
  </si>
  <si>
    <t>Output</t>
  </si>
  <si>
    <t>Variable/parameter</t>
  </si>
  <si>
    <t>Unit</t>
  </si>
  <si>
    <t>Symbol</t>
  </si>
  <si>
    <t>[-]</t>
  </si>
  <si>
    <t>S</t>
  </si>
  <si>
    <t>Value</t>
  </si>
  <si>
    <t>O</t>
  </si>
  <si>
    <t xml:space="preserve">Pick list / Calculation formula </t>
  </si>
  <si>
    <t>d</t>
  </si>
  <si>
    <r>
      <t xml:space="preserve">S/D/O/P </t>
    </r>
    <r>
      <rPr>
        <i/>
        <vertAlign val="superscript"/>
        <sz val="10"/>
        <color rgb="FF0070C0"/>
        <rFont val="Verdana"/>
        <family val="2"/>
      </rPr>
      <t>1</t>
    </r>
  </si>
  <si>
    <t>1) S: data set; D: default; O: output; P: pick list</t>
  </si>
  <si>
    <t>D</t>
  </si>
  <si>
    <t>Beef cattle (cat 2)</t>
  </si>
  <si>
    <t>Dairy cows (cat 1)</t>
  </si>
  <si>
    <t>Veal calves (cat 3)</t>
  </si>
  <si>
    <t>Sows, in individual pens (cat 4)</t>
  </si>
  <si>
    <t>Sows in groups (cat 5)</t>
  </si>
  <si>
    <t>Fattening pigs (cat 6)</t>
  </si>
  <si>
    <t>Laying hens in battery cages without treatment (cat 7)</t>
  </si>
  <si>
    <t>Laying hens in battery cages with aeration (belt drying) (cat 8)</t>
  </si>
  <si>
    <t>Laying hens in compact battery cages (cat 10)</t>
  </si>
  <si>
    <t>Laying hens in free range with litter floor (partly litter floor, partly slatted) (cat 11)</t>
  </si>
  <si>
    <t>Broilers in free range with litter floor (cat 12)</t>
  </si>
  <si>
    <t>Laying hens in free range with grating floor (aviary system) (cat 13)</t>
  </si>
  <si>
    <t>Parent broilers in free range with grating floor (cat 14)</t>
  </si>
  <si>
    <t>Parent broilers in rearing with grating floor (cat 15)</t>
  </si>
  <si>
    <t>Turkeys in free range with litter floor (cat 16)</t>
  </si>
  <si>
    <t>Ducks in free range with litter floor (cat 17)</t>
  </si>
  <si>
    <t>Geese in free range with litter floor (cat 18)</t>
  </si>
  <si>
    <t>index i1. Category-subcategory</t>
  </si>
  <si>
    <t>Number of animals</t>
  </si>
  <si>
    <t>Floor area</t>
  </si>
  <si>
    <r>
      <t>m</t>
    </r>
    <r>
      <rPr>
        <i/>
        <vertAlign val="superscript"/>
        <sz val="10"/>
        <color theme="1"/>
        <rFont val="Verdana"/>
        <family val="2"/>
      </rPr>
      <t>2</t>
    </r>
  </si>
  <si>
    <t xml:space="preserve">Slatted area </t>
  </si>
  <si>
    <t>Wall and Roof area</t>
  </si>
  <si>
    <t>Manure area inside</t>
  </si>
  <si>
    <t>??</t>
  </si>
  <si>
    <t>Fbioc</t>
  </si>
  <si>
    <t>Fraction released</t>
  </si>
  <si>
    <t>n.a.</t>
  </si>
  <si>
    <t>Nlapp-grass</t>
  </si>
  <si>
    <t>Nlapp-arab</t>
  </si>
  <si>
    <t>Tgr-int</t>
  </si>
  <si>
    <t>N</t>
  </si>
  <si>
    <r>
      <t>Q</t>
    </r>
    <r>
      <rPr>
        <vertAlign val="subscript"/>
        <sz val="10"/>
        <color theme="1"/>
        <rFont val="Verdana"/>
        <family val="2"/>
      </rPr>
      <t>N,grassland</t>
    </r>
  </si>
  <si>
    <r>
      <t>Q</t>
    </r>
    <r>
      <rPr>
        <vertAlign val="subscript"/>
        <sz val="10"/>
        <color theme="1"/>
        <rFont val="Verdana"/>
        <family val="2"/>
      </rPr>
      <t>N,arable_land</t>
    </r>
  </si>
  <si>
    <t>m</t>
  </si>
  <si>
    <t>Intermediate calculations</t>
  </si>
  <si>
    <t>kg</t>
  </si>
  <si>
    <t>STP</t>
  </si>
  <si>
    <t>Laying hens in battery cages with forced drying (deep pit, high rise) (cat 9)</t>
  </si>
  <si>
    <r>
      <t>kg.animal</t>
    </r>
    <r>
      <rPr>
        <i/>
        <vertAlign val="superscript"/>
        <sz val="10"/>
        <color theme="1"/>
        <rFont val="Verdana"/>
        <family val="2"/>
      </rPr>
      <t>-1</t>
    </r>
    <r>
      <rPr>
        <i/>
        <sz val="10"/>
        <color theme="1"/>
        <rFont val="Verdana"/>
        <family val="2"/>
      </rPr>
      <t>.d</t>
    </r>
    <r>
      <rPr>
        <i/>
        <vertAlign val="superscript"/>
        <sz val="10"/>
        <color theme="1"/>
        <rFont val="Verdana"/>
        <family val="2"/>
      </rPr>
      <t>-1</t>
    </r>
  </si>
  <si>
    <t>1. In the "Input" table:</t>
  </si>
  <si>
    <t xml:space="preserve">Instructions for using the tables: </t>
  </si>
  <si>
    <t>INDEX</t>
  </si>
  <si>
    <t>Version history</t>
  </si>
  <si>
    <t>v1.0</t>
  </si>
  <si>
    <t>Select category-subcategory</t>
  </si>
  <si>
    <t xml:space="preserve">Select way of application </t>
  </si>
  <si>
    <t>Table 5.1 - Index i3</t>
  </si>
  <si>
    <t>Manure storage "wet" (slurry pits) (cat 19)</t>
  </si>
  <si>
    <t>Manure storage "dry" (manure heaps) (cat 20)</t>
  </si>
  <si>
    <t>S/P</t>
  </si>
  <si>
    <t>Other areas</t>
  </si>
  <si>
    <r>
      <t>Housing volume
m</t>
    </r>
    <r>
      <rPr>
        <i/>
        <vertAlign val="superscript"/>
        <sz val="10"/>
        <rFont val="Verdana"/>
        <family val="2"/>
      </rPr>
      <t>3</t>
    </r>
  </si>
  <si>
    <r>
      <t>m</t>
    </r>
    <r>
      <rPr>
        <i/>
        <vertAlign val="superscript"/>
        <sz val="10"/>
        <rFont val="Verdana"/>
        <family val="2"/>
      </rPr>
      <t>2</t>
    </r>
  </si>
  <si>
    <r>
      <t>m</t>
    </r>
    <r>
      <rPr>
        <i/>
        <vertAlign val="superscript"/>
        <sz val="10"/>
        <rFont val="Verdana"/>
        <family val="2"/>
      </rPr>
      <t>3</t>
    </r>
  </si>
  <si>
    <t>O/D</t>
  </si>
  <si>
    <t>Tbioc-int</t>
  </si>
  <si>
    <r>
      <t>kg.ha</t>
    </r>
    <r>
      <rPr>
        <vertAlign val="superscript"/>
        <sz val="10"/>
        <rFont val="Verdana"/>
        <family val="2"/>
      </rPr>
      <t>-1</t>
    </r>
  </si>
  <si>
    <t>Nitrogen immission standard for one year on grassland</t>
  </si>
  <si>
    <t>Nitrogen immission standard for one year on arable land</t>
  </si>
  <si>
    <t>Mixing depth with soil, grassland</t>
  </si>
  <si>
    <t xml:space="preserve">Mixing depth with soil, arable land </t>
  </si>
  <si>
    <t xml:space="preserve">Density of wet bulk soil </t>
  </si>
  <si>
    <r>
      <rPr>
        <b/>
        <sz val="10"/>
        <color theme="1"/>
        <rFont val="Verdana"/>
        <family val="2"/>
      </rPr>
      <t>Reference documents:</t>
    </r>
    <r>
      <rPr>
        <sz val="10"/>
        <color theme="1"/>
        <rFont val="Verdana"/>
        <family val="2"/>
      </rPr>
      <t xml:space="preserve"> </t>
    </r>
  </si>
  <si>
    <t>Introduce value below</t>
  </si>
  <si>
    <t>Wastewater</t>
  </si>
  <si>
    <t>Soil water equilibrium partition coefficient</t>
  </si>
  <si>
    <t>Select manure storage system</t>
  </si>
  <si>
    <t>TOTAL AREA</t>
  </si>
  <si>
    <t>m2</t>
  </si>
  <si>
    <t>Select type of housing</t>
  </si>
  <si>
    <t>TOTAL housing AREA</t>
  </si>
  <si>
    <r>
      <t>DILUTION</t>
    </r>
    <r>
      <rPr>
        <vertAlign val="subscript"/>
        <sz val="10"/>
        <color theme="1"/>
        <rFont val="Verdana"/>
        <family val="2"/>
      </rPr>
      <t>run-off</t>
    </r>
  </si>
  <si>
    <t>DILUTION</t>
  </si>
  <si>
    <t>%</t>
  </si>
  <si>
    <t>manure/slurry</t>
  </si>
  <si>
    <r>
      <t>d</t>
    </r>
    <r>
      <rPr>
        <vertAlign val="superscript"/>
        <sz val="10"/>
        <rFont val="Verdana"/>
        <family val="2"/>
      </rPr>
      <t>-1</t>
    </r>
  </si>
  <si>
    <t>Dairy cows - Grazing season (cat 1)</t>
  </si>
  <si>
    <t>Beef cattle - Grazing season (cat 2)</t>
  </si>
  <si>
    <t>Soil - arable land</t>
  </si>
  <si>
    <t>Soil - grassland</t>
  </si>
  <si>
    <t xml:space="preserve">appway </t>
  </si>
  <si>
    <t>Number of animals in housing</t>
  </si>
  <si>
    <t>Qnitrog</t>
  </si>
  <si>
    <r>
      <t>kg</t>
    </r>
    <r>
      <rPr>
        <sz val="10"/>
        <color theme="1"/>
        <rFont val="Verdana"/>
        <family val="2"/>
      </rPr>
      <t>.d</t>
    </r>
    <r>
      <rPr>
        <vertAlign val="superscript"/>
        <sz val="10"/>
        <color theme="1"/>
        <rFont val="Verdana"/>
        <family val="2"/>
      </rPr>
      <t>-1</t>
    </r>
  </si>
  <si>
    <t xml:space="preserve">Fraction of active ingredient released </t>
  </si>
  <si>
    <t xml:space="preserve">Amount of nitrogen per animal </t>
  </si>
  <si>
    <t>cat-subcat</t>
  </si>
  <si>
    <t>Spraying</t>
  </si>
  <si>
    <t>Qai-prescr</t>
  </si>
  <si>
    <t>Qai-manure/slurry</t>
  </si>
  <si>
    <t>Qai-wastewater</t>
  </si>
  <si>
    <r>
      <rPr>
        <b/>
        <sz val="10"/>
        <color theme="1"/>
        <rFont val="Verdana"/>
        <family val="2"/>
      </rPr>
      <t>Qai-manure/slurry</t>
    </r>
    <r>
      <rPr>
        <sz val="10"/>
        <color theme="1"/>
        <rFont val="Verdana"/>
        <family val="2"/>
      </rPr>
      <t xml:space="preserve"> = Fmanure/slurry</t>
    </r>
    <r>
      <rPr>
        <sz val="10"/>
        <color theme="1"/>
        <rFont val="Verdana"/>
        <family val="2"/>
      </rPr>
      <t xml:space="preserve"> * Qai-prescr</t>
    </r>
  </si>
  <si>
    <r>
      <rPr>
        <b/>
        <sz val="10"/>
        <color theme="1"/>
        <rFont val="Verdana"/>
        <family val="2"/>
      </rPr>
      <t>Qai-wastewater</t>
    </r>
    <r>
      <rPr>
        <sz val="10"/>
        <color theme="1"/>
        <rFont val="Verdana"/>
        <family val="2"/>
      </rPr>
      <t xml:space="preserve"> = Fwastewater</t>
    </r>
    <r>
      <rPr>
        <sz val="10"/>
        <color theme="1"/>
        <rFont val="Verdana"/>
        <family val="2"/>
      </rPr>
      <t xml:space="preserve"> * Qai-prescr</t>
    </r>
  </si>
  <si>
    <t>Qnitrog-grass</t>
  </si>
  <si>
    <t>Qnitrog-arab</t>
  </si>
  <si>
    <t>Nlapp-arab,10</t>
  </si>
  <si>
    <t>2. The tables "Intermediate calculations" and "Output" will be automatically populated with the calculated values.</t>
  </si>
  <si>
    <t>Type of housing for application of the notification</t>
  </si>
  <si>
    <t>Amount of nitrogen produced during the relevant period for every relevant (sub)category of animal/housing and application to grassland</t>
  </si>
  <si>
    <t>Amount of nitrogen produced during the relevant period for every relevant (sub)category of animal/housing and application to arable land</t>
  </si>
  <si>
    <r>
      <t>mg.kg</t>
    </r>
    <r>
      <rPr>
        <vertAlign val="subscript"/>
        <sz val="10"/>
        <rFont val="Verdana"/>
        <family val="2"/>
      </rPr>
      <t>wwt</t>
    </r>
    <r>
      <rPr>
        <vertAlign val="superscript"/>
        <sz val="10"/>
        <rFont val="Verdana"/>
        <family val="2"/>
      </rPr>
      <t xml:space="preserve">-1 </t>
    </r>
  </si>
  <si>
    <r>
      <t>kg</t>
    </r>
    <r>
      <rPr>
        <vertAlign val="subscript"/>
        <sz val="10"/>
        <color theme="1"/>
        <rFont val="Verdana"/>
        <family val="2"/>
      </rPr>
      <t>wwt</t>
    </r>
    <r>
      <rPr>
        <sz val="10"/>
        <color theme="1"/>
        <rFont val="Verdana"/>
        <family val="2"/>
      </rPr>
      <t>.m</t>
    </r>
    <r>
      <rPr>
        <vertAlign val="superscript"/>
        <sz val="10"/>
        <color theme="1"/>
        <rFont val="Verdana"/>
        <family val="2"/>
      </rPr>
      <t>-3</t>
    </r>
  </si>
  <si>
    <t>INSECTICIDE i2=1</t>
  </si>
  <si>
    <t>Spreadsheet index (click on the title to be directed to the sub-section of the table)</t>
  </si>
  <si>
    <t>Input table</t>
  </si>
  <si>
    <t>Output table</t>
  </si>
  <si>
    <t xml:space="preserve">    Soil - arable land</t>
  </si>
  <si>
    <t xml:space="preserve">    Soil - grassland</t>
  </si>
  <si>
    <t xml:space="preserve">    STP</t>
  </si>
  <si>
    <t>The default values can be overwritten. Once overwritten, in order to revert to the default values, these need to be manually introduced. Alternatively replace this worksheet by copying the one from the excel file in ECHA website.</t>
  </si>
  <si>
    <t>Note:</t>
  </si>
  <si>
    <r>
      <rPr>
        <b/>
        <sz val="10"/>
        <rFont val="Verdana"/>
        <family val="2"/>
      </rPr>
      <t>Qnitrog-grass</t>
    </r>
    <r>
      <rPr>
        <sz val="10"/>
        <rFont val="Verdana"/>
        <family val="2"/>
      </rPr>
      <t xml:space="preserve"> = N * Qnitrog * Tgr-int</t>
    </r>
  </si>
  <si>
    <t>Napp-manure-ar</t>
  </si>
  <si>
    <t>Napp-manure-gr</t>
  </si>
  <si>
    <t>Number of biocidal product applications during manure storage period for application on arable land</t>
  </si>
  <si>
    <t>Amount of active substance in relevant stream after one application</t>
  </si>
  <si>
    <t>Total housing area (floor+wall and roof)</t>
  </si>
  <si>
    <t>Wall and roof</t>
  </si>
  <si>
    <t>Slatted area</t>
  </si>
  <si>
    <t>enter value below</t>
  </si>
  <si>
    <r>
      <t>F</t>
    </r>
    <r>
      <rPr>
        <vertAlign val="subscript"/>
        <sz val="10"/>
        <rFont val="Verdana"/>
        <family val="2"/>
      </rPr>
      <t>manure/slurry</t>
    </r>
  </si>
  <si>
    <r>
      <t>F</t>
    </r>
    <r>
      <rPr>
        <vertAlign val="subscript"/>
        <sz val="10"/>
        <color theme="1"/>
        <rFont val="Verdana"/>
        <family val="2"/>
      </rPr>
      <t>wastewater</t>
    </r>
  </si>
  <si>
    <r>
      <t>F</t>
    </r>
    <r>
      <rPr>
        <vertAlign val="subscript"/>
        <sz val="10"/>
        <color theme="1"/>
        <rFont val="Verdana"/>
        <family val="2"/>
      </rPr>
      <t>manure/slurry+wastewater</t>
    </r>
  </si>
  <si>
    <t>manure/slurry + wastewater</t>
  </si>
  <si>
    <t>wastewater</t>
  </si>
  <si>
    <t>Manure/slurry</t>
  </si>
  <si>
    <t>Manure/slurry + Wastewater</t>
  </si>
  <si>
    <t>Qai-manure/slurry+wastewater</t>
  </si>
  <si>
    <r>
      <t xml:space="preserve">Amount of active substance in </t>
    </r>
    <r>
      <rPr>
        <b/>
        <sz val="10"/>
        <rFont val="Verdana"/>
        <family val="2"/>
      </rPr>
      <t>manure/slurry</t>
    </r>
    <r>
      <rPr>
        <sz val="10"/>
        <rFont val="Verdana"/>
        <family val="2"/>
      </rPr>
      <t xml:space="preserve"> after the relevant number of biocidal product applications for the manure application to grassland</t>
    </r>
  </si>
  <si>
    <r>
      <t xml:space="preserve">Amount of active substance in </t>
    </r>
    <r>
      <rPr>
        <b/>
        <sz val="10"/>
        <rFont val="Verdana"/>
        <family val="2"/>
      </rPr>
      <t>manure/slurry + wastewater</t>
    </r>
    <r>
      <rPr>
        <sz val="10"/>
        <rFont val="Verdana"/>
        <family val="2"/>
      </rPr>
      <t xml:space="preserve"> after the relevant number of biocidal product applications for the manure application to grassland</t>
    </r>
  </si>
  <si>
    <t>Qai-grass_manure/slurry</t>
  </si>
  <si>
    <r>
      <t xml:space="preserve">Qai-grass_manure/slurry </t>
    </r>
    <r>
      <rPr>
        <sz val="10"/>
        <rFont val="Verdana"/>
        <family val="2"/>
      </rPr>
      <t>= Qai-manure/slurry * Napp-manure-gr</t>
    </r>
  </si>
  <si>
    <r>
      <t xml:space="preserve">Amount of active substance in </t>
    </r>
    <r>
      <rPr>
        <b/>
        <sz val="10"/>
        <rFont val="Verdana"/>
        <family val="2"/>
      </rPr>
      <t>manure/slurry</t>
    </r>
    <r>
      <rPr>
        <sz val="10"/>
        <rFont val="Verdana"/>
        <family val="2"/>
      </rPr>
      <t xml:space="preserve"> after the relevant number of biocidal product applications for the manure application to arable land</t>
    </r>
  </si>
  <si>
    <t>Qai-arab_manure/slurry</t>
  </si>
  <si>
    <r>
      <t xml:space="preserve">Amount of active substance in </t>
    </r>
    <r>
      <rPr>
        <b/>
        <sz val="10"/>
        <rFont val="Verdana"/>
        <family val="2"/>
      </rPr>
      <t>manure/slurry + wastewater</t>
    </r>
    <r>
      <rPr>
        <sz val="10"/>
        <rFont val="Verdana"/>
        <family val="2"/>
      </rPr>
      <t xml:space="preserve"> after the relevant number of biocidal product applications for the manure application to arable land</t>
    </r>
  </si>
  <si>
    <r>
      <t>Qai-arab_manure/slurry</t>
    </r>
    <r>
      <rPr>
        <sz val="10"/>
        <rFont val="Verdana"/>
        <family val="2"/>
      </rPr>
      <t xml:space="preserve"> = Qai-manure/slurry * Napp-manure-ar</t>
    </r>
  </si>
  <si>
    <t>Amount of active substance to be used for one application</t>
  </si>
  <si>
    <t xml:space="preserve">Number of biocidal product applications during manure storage period for application on grassland </t>
  </si>
  <si>
    <t>Tar-int,10</t>
  </si>
  <si>
    <t>Solids-water partition coefficient of suspended matter</t>
  </si>
  <si>
    <t>Kp,susp</t>
  </si>
  <si>
    <t>Concentration of suspended matter in the river</t>
  </si>
  <si>
    <t>SUSPwater</t>
  </si>
  <si>
    <t>The soil calculations and subsequent water calculations consider the worst-case situation for soil, when the site is not connected to the local drainage system, all wastewater would remain on site and be stored with the slurry prior to mixing with dry waste (manure) for application to agricultural land (soil).</t>
  </si>
  <si>
    <t>Groundwater and surface water - in grassland areas</t>
  </si>
  <si>
    <t>Groundwater and surface water - in arable land areas</t>
  </si>
  <si>
    <t>Local concentration in sediment</t>
  </si>
  <si>
    <r>
      <t>PEClocal</t>
    </r>
    <r>
      <rPr>
        <vertAlign val="subscript"/>
        <sz val="10"/>
        <rFont val="Verdana"/>
        <family val="2"/>
      </rPr>
      <t>sed_gr</t>
    </r>
  </si>
  <si>
    <t>Ksusp-water</t>
  </si>
  <si>
    <t>Suspended matter-water partition coefficient</t>
  </si>
  <si>
    <t>Bulk density of wet suspended matter</t>
  </si>
  <si>
    <r>
      <t>DEPTH</t>
    </r>
    <r>
      <rPr>
        <vertAlign val="subscript"/>
        <sz val="10"/>
        <rFont val="Verdana"/>
        <family val="2"/>
      </rPr>
      <t>grassland</t>
    </r>
  </si>
  <si>
    <r>
      <t>DEPTH</t>
    </r>
    <r>
      <rPr>
        <vertAlign val="subscript"/>
        <sz val="10"/>
        <rFont val="Verdana"/>
        <family val="2"/>
      </rPr>
      <t>arable_soil</t>
    </r>
  </si>
  <si>
    <r>
      <t>RHOsoil</t>
    </r>
    <r>
      <rPr>
        <vertAlign val="subscript"/>
        <sz val="10"/>
        <rFont val="Verdana"/>
        <family val="2"/>
      </rPr>
      <t>wet</t>
    </r>
  </si>
  <si>
    <r>
      <t>RHOsusp</t>
    </r>
    <r>
      <rPr>
        <vertAlign val="subscript"/>
        <sz val="10"/>
        <rFont val="Verdana"/>
        <family val="2"/>
      </rPr>
      <t>wet</t>
    </r>
  </si>
  <si>
    <r>
      <t>K</t>
    </r>
    <r>
      <rPr>
        <vertAlign val="subscript"/>
        <sz val="10"/>
        <rFont val="Verdana"/>
        <family val="2"/>
      </rPr>
      <t>soil-water</t>
    </r>
  </si>
  <si>
    <r>
      <rPr>
        <b/>
        <sz val="10"/>
        <rFont val="Verdana"/>
        <family val="2"/>
      </rPr>
      <t>Qai-manure/slurry+wastewater</t>
    </r>
    <r>
      <rPr>
        <sz val="10"/>
        <rFont val="Verdana"/>
        <family val="2"/>
      </rPr>
      <t xml:space="preserve"> = Fmanure/slurry+wastewater * Qai-prescr</t>
    </r>
  </si>
  <si>
    <r>
      <t>m</t>
    </r>
    <r>
      <rPr>
        <vertAlign val="superscript"/>
        <sz val="10"/>
        <rFont val="Verdana"/>
        <family val="2"/>
      </rPr>
      <t>3</t>
    </r>
    <r>
      <rPr>
        <sz val="10"/>
        <rFont val="Verdana"/>
        <family val="2"/>
      </rPr>
      <t>.m</t>
    </r>
    <r>
      <rPr>
        <vertAlign val="superscript"/>
        <sz val="10"/>
        <rFont val="Verdana"/>
        <family val="2"/>
      </rPr>
      <t>-3</t>
    </r>
  </si>
  <si>
    <r>
      <t>PEClocal</t>
    </r>
    <r>
      <rPr>
        <vertAlign val="subscript"/>
        <sz val="10"/>
        <rFont val="Verdana"/>
        <family val="2"/>
      </rPr>
      <t>sed_ar</t>
    </r>
  </si>
  <si>
    <t>Local concentration in pore water (=groundwater) due to spreading of treated manure in grassland</t>
  </si>
  <si>
    <t>Local concentration in pore water (=groundwater) due to spreading of treated manure in arable land</t>
  </si>
  <si>
    <t>Local concentration in surface water due to run-off from grassland</t>
  </si>
  <si>
    <t>Local concentration in surface water due to run-off from arable land</t>
  </si>
  <si>
    <r>
      <t>g.L</t>
    </r>
    <r>
      <rPr>
        <vertAlign val="superscript"/>
        <sz val="10"/>
        <rFont val="Verdana"/>
        <family val="2"/>
      </rPr>
      <t>-1</t>
    </r>
  </si>
  <si>
    <t>SPRAYING (ESD PT 3, Appendix 1, Table 10)</t>
  </si>
  <si>
    <t>Fogging</t>
  </si>
  <si>
    <t>Biocidal product application interval</t>
  </si>
  <si>
    <t>Manure application interval for grassland</t>
  </si>
  <si>
    <t>Manure application interval for arable land</t>
  </si>
  <si>
    <t>Number of manure applications for arable land in 10 years</t>
  </si>
  <si>
    <t>ESD PT 3, Table 1a</t>
  </si>
  <si>
    <t>ESD PT 3 + TAB</t>
  </si>
  <si>
    <t>ESD PT 3, Table 13</t>
  </si>
  <si>
    <t>ESD PT 3, Table 7</t>
  </si>
  <si>
    <t>ESD PT 3, Table 9</t>
  </si>
  <si>
    <t>ESD PT 3, Table 8</t>
  </si>
  <si>
    <t>Environmental Emission Scenarios for Product Type 3: Veterinary hygiene biocidal products</t>
  </si>
  <si>
    <t>Notes:</t>
  </si>
  <si>
    <t>1. In the "Input" table insert Fbioc (content of active ingredient), Vprod (amount of undiluted product to be used per m2) and Fdil (dilution factor) values.</t>
  </si>
  <si>
    <t>Area of trucks (mammal transports)</t>
  </si>
  <si>
    <t>AREAmam</t>
  </si>
  <si>
    <r>
      <t>m</t>
    </r>
    <r>
      <rPr>
        <vertAlign val="superscript"/>
        <sz val="10"/>
        <color theme="1"/>
        <rFont val="Verdana"/>
        <family val="2"/>
      </rPr>
      <t>2</t>
    </r>
  </si>
  <si>
    <t>ESD Appendix 2</t>
  </si>
  <si>
    <t>Area of trucks (poultry transports)</t>
  </si>
  <si>
    <t>AREApoul</t>
  </si>
  <si>
    <t>Area of containers (poultry transports)</t>
  </si>
  <si>
    <t>AREAcont</t>
  </si>
  <si>
    <t>Content of active ingredient in formulation (product)</t>
  </si>
  <si>
    <r>
      <t>Amount of (undiluted) product prescribed to be used per m</t>
    </r>
    <r>
      <rPr>
        <vertAlign val="superscript"/>
        <sz val="10"/>
        <color theme="1"/>
        <rFont val="Verdana"/>
        <family val="2"/>
      </rPr>
      <t>2</t>
    </r>
  </si>
  <si>
    <r>
      <t xml:space="preserve">Dilution factor (for preparation of the working solution from the formulation (product)) </t>
    </r>
    <r>
      <rPr>
        <vertAlign val="superscript"/>
        <sz val="10"/>
        <color theme="1"/>
        <rFont val="Verdana"/>
        <family val="2"/>
      </rPr>
      <t>2</t>
    </r>
    <r>
      <rPr>
        <sz val="10"/>
        <color theme="1"/>
        <rFont val="Verdana"/>
        <family val="2"/>
      </rPr>
      <t xml:space="preserve"> </t>
    </r>
  </si>
  <si>
    <r>
      <t>F</t>
    </r>
    <r>
      <rPr>
        <vertAlign val="subscript"/>
        <sz val="10"/>
        <color theme="1"/>
        <rFont val="Verdana"/>
        <family val="2"/>
      </rPr>
      <t>dil</t>
    </r>
  </si>
  <si>
    <r>
      <t xml:space="preserve">Fraction released to air </t>
    </r>
    <r>
      <rPr>
        <vertAlign val="superscript"/>
        <sz val="10"/>
        <color theme="1"/>
        <rFont val="Verdana"/>
        <family val="2"/>
      </rPr>
      <t>3</t>
    </r>
  </si>
  <si>
    <t>Fraction released to waste water</t>
  </si>
  <si>
    <t>Fstp = 1-Fair</t>
  </si>
  <si>
    <t>Number of disinfectant applications in one year</t>
  </si>
  <si>
    <t>Source strength</t>
  </si>
  <si>
    <t>Source_strength</t>
  </si>
  <si>
    <t>Number of emission days per year</t>
  </si>
  <si>
    <t>Temission</t>
  </si>
  <si>
    <r>
      <t>2) For example: if the formulation is diluted 1/10 (=1:10), the dilution factor is 10</t>
    </r>
    <r>
      <rPr>
        <i/>
        <vertAlign val="superscript"/>
        <sz val="10"/>
        <color rgb="FF0070C0"/>
        <rFont val="Verdana"/>
        <family val="2"/>
      </rPr>
      <t>-1</t>
    </r>
    <r>
      <rPr>
        <i/>
        <sz val="10"/>
        <color rgb="FF0070C0"/>
        <rFont val="Verdana"/>
        <family val="2"/>
      </rPr>
      <t>; if the formulation (product) is also used as working solution, the dilution factor is 1.</t>
    </r>
  </si>
  <si>
    <t>3) Default value for Fair derived from the A-tables of the TGD (IC=1: Agriultural industry; Table A3.1 - Default emission factor to air)</t>
  </si>
  <si>
    <t>4) According to Technical Guidance Document on Risk Assessment (TGD) in support of Directive 98/8/EC, Part II (EC 2003a).</t>
  </si>
  <si>
    <t xml:space="preserve">Amount of active ingredient to be used for one application </t>
  </si>
  <si>
    <t>Mammal transports</t>
  </si>
  <si>
    <t>Poultry transports</t>
  </si>
  <si>
    <t>Air exposure</t>
  </si>
  <si>
    <t>Annual average concentration in air at 100 m from source</t>
  </si>
  <si>
    <r>
      <t>mg.m</t>
    </r>
    <r>
      <rPr>
        <vertAlign val="superscript"/>
        <sz val="10"/>
        <color theme="1"/>
        <rFont val="Verdana"/>
        <family val="2"/>
      </rPr>
      <t>-3</t>
    </r>
  </si>
  <si>
    <t>Emission from one application to a standard STP or an on-site wastewater treatment plant</t>
  </si>
  <si>
    <t xml:space="preserve">Instructions for using the table: </t>
  </si>
  <si>
    <t>P</t>
  </si>
  <si>
    <t>Pick list: ESD Table 6b</t>
  </si>
  <si>
    <t xml:space="preserve">Quantity of disinfectant used per cubic meter </t>
  </si>
  <si>
    <r>
      <t>Qai</t>
    </r>
    <r>
      <rPr>
        <vertAlign val="subscript"/>
        <sz val="10"/>
        <color theme="1"/>
        <rFont val="Verdana"/>
        <family val="2"/>
      </rPr>
      <t>appl</t>
    </r>
  </si>
  <si>
    <r>
      <t>g.m</t>
    </r>
    <r>
      <rPr>
        <vertAlign val="superscript"/>
        <sz val="10"/>
        <color theme="1"/>
        <rFont val="Verdana"/>
        <family val="2"/>
      </rPr>
      <t>-3</t>
    </r>
  </si>
  <si>
    <t>Application stages:</t>
  </si>
  <si>
    <t>Stage 1 - eggs in fumigation sluice:</t>
  </si>
  <si>
    <t xml:space="preserve">   Volume of the fumigation sluice</t>
  </si>
  <si>
    <r>
      <t>V</t>
    </r>
    <r>
      <rPr>
        <vertAlign val="subscript"/>
        <sz val="10"/>
        <color theme="1"/>
        <rFont val="Verdana"/>
        <family val="2"/>
      </rPr>
      <t>sluice</t>
    </r>
  </si>
  <si>
    <r>
      <t>m</t>
    </r>
    <r>
      <rPr>
        <vertAlign val="superscript"/>
        <sz val="10"/>
        <color theme="1"/>
        <rFont val="Verdana"/>
        <family val="2"/>
      </rPr>
      <t>3</t>
    </r>
  </si>
  <si>
    <t xml:space="preserve">   Number of fumigation sluices</t>
  </si>
  <si>
    <r>
      <t>N</t>
    </r>
    <r>
      <rPr>
        <vertAlign val="subscript"/>
        <sz val="10"/>
        <color theme="1"/>
        <rFont val="Verdana"/>
        <family val="2"/>
      </rPr>
      <t>sluice</t>
    </r>
  </si>
  <si>
    <t xml:space="preserve">   Number of disinfection events</t>
  </si>
  <si>
    <r>
      <t>Nappl</t>
    </r>
    <r>
      <rPr>
        <vertAlign val="subscript"/>
        <sz val="10"/>
        <color theme="1"/>
        <rFont val="Verdana"/>
        <family val="2"/>
      </rPr>
      <t>sluice</t>
    </r>
  </si>
  <si>
    <r>
      <t>d</t>
    </r>
    <r>
      <rPr>
        <vertAlign val="superscript"/>
        <sz val="10"/>
        <color theme="1"/>
        <rFont val="Verdana"/>
        <family val="2"/>
      </rPr>
      <t>-1</t>
    </r>
  </si>
  <si>
    <t>Stage 2 - eggs in hatcher:</t>
  </si>
  <si>
    <t xml:space="preserve">   Volume of the hatcher</t>
  </si>
  <si>
    <r>
      <t>V</t>
    </r>
    <r>
      <rPr>
        <vertAlign val="subscript"/>
        <sz val="10"/>
        <color theme="1"/>
        <rFont val="Verdana"/>
        <family val="2"/>
      </rPr>
      <t>hatcher</t>
    </r>
  </si>
  <si>
    <t xml:space="preserve">   Number of hatchers</t>
  </si>
  <si>
    <r>
      <t>N</t>
    </r>
    <r>
      <rPr>
        <vertAlign val="subscript"/>
        <sz val="10"/>
        <color theme="1"/>
        <rFont val="Verdana"/>
        <family val="2"/>
      </rPr>
      <t>hatcher</t>
    </r>
  </si>
  <si>
    <r>
      <t>Nappl</t>
    </r>
    <r>
      <rPr>
        <vertAlign val="subscript"/>
        <sz val="10"/>
        <color theme="1"/>
        <rFont val="Verdana"/>
        <family val="2"/>
      </rPr>
      <t>hatcher</t>
    </r>
  </si>
  <si>
    <t>Stage 3 - rooms and equipment:</t>
  </si>
  <si>
    <t xml:space="preserve">   Volume of the setter</t>
  </si>
  <si>
    <r>
      <t>V</t>
    </r>
    <r>
      <rPr>
        <vertAlign val="subscript"/>
        <sz val="10"/>
        <color theme="1"/>
        <rFont val="Verdana"/>
        <family val="2"/>
      </rPr>
      <t>setter</t>
    </r>
  </si>
  <si>
    <t xml:space="preserve">   Number of setters</t>
  </si>
  <si>
    <r>
      <t>N</t>
    </r>
    <r>
      <rPr>
        <vertAlign val="subscript"/>
        <sz val="10"/>
        <color theme="1"/>
        <rFont val="Verdana"/>
        <family val="2"/>
      </rPr>
      <t>setter</t>
    </r>
  </si>
  <si>
    <t xml:space="preserve">   Number of disinfection events
   (single-stage setter)</t>
  </si>
  <si>
    <r>
      <t>Nappl</t>
    </r>
    <r>
      <rPr>
        <vertAlign val="subscript"/>
        <sz val="10"/>
        <color theme="1"/>
        <rFont val="Verdana"/>
        <family val="2"/>
      </rPr>
      <t>setter</t>
    </r>
  </si>
  <si>
    <t>Fraction released to air after fumigation</t>
  </si>
  <si>
    <r>
      <t>F</t>
    </r>
    <r>
      <rPr>
        <vertAlign val="subscript"/>
        <sz val="10"/>
        <color theme="1"/>
        <rFont val="Verdana"/>
        <family val="2"/>
      </rPr>
      <t>air_fum</t>
    </r>
  </si>
  <si>
    <r>
      <t>F</t>
    </r>
    <r>
      <rPr>
        <vertAlign val="subscript"/>
        <sz val="10"/>
        <color theme="1"/>
        <rFont val="Verdana"/>
        <family val="2"/>
      </rPr>
      <t>water_fum</t>
    </r>
  </si>
  <si>
    <r>
      <t>F</t>
    </r>
    <r>
      <rPr>
        <vertAlign val="subscript"/>
        <sz val="10"/>
        <rFont val="Verdana"/>
        <family val="2"/>
      </rPr>
      <t>water_fum</t>
    </r>
    <r>
      <rPr>
        <sz val="10"/>
        <rFont val="Verdana"/>
        <family val="2"/>
      </rPr>
      <t xml:space="preserve"> = 1 - F</t>
    </r>
    <r>
      <rPr>
        <vertAlign val="subscript"/>
        <sz val="10"/>
        <rFont val="Verdana"/>
        <family val="2"/>
      </rPr>
      <t>air_fum</t>
    </r>
  </si>
  <si>
    <t>Fraction released to air after aerosol or fogging treatment</t>
  </si>
  <si>
    <r>
      <t>F</t>
    </r>
    <r>
      <rPr>
        <vertAlign val="subscript"/>
        <sz val="10"/>
        <color theme="1"/>
        <rFont val="Verdana"/>
        <family val="2"/>
      </rPr>
      <t>air_fog</t>
    </r>
  </si>
  <si>
    <r>
      <t>F</t>
    </r>
    <r>
      <rPr>
        <vertAlign val="subscript"/>
        <sz val="10"/>
        <color theme="1"/>
        <rFont val="Verdana"/>
        <family val="2"/>
      </rPr>
      <t>water_fog</t>
    </r>
  </si>
  <si>
    <r>
      <t>F</t>
    </r>
    <r>
      <rPr>
        <vertAlign val="subscript"/>
        <sz val="10"/>
        <rFont val="Verdana"/>
        <family val="2"/>
      </rPr>
      <t>water_fog</t>
    </r>
    <r>
      <rPr>
        <sz val="10"/>
        <rFont val="Verdana"/>
        <family val="2"/>
      </rPr>
      <t xml:space="preserve"> = 1 - F</t>
    </r>
    <r>
      <rPr>
        <vertAlign val="subscript"/>
        <sz val="10"/>
        <rFont val="Verdana"/>
        <family val="2"/>
      </rPr>
      <t>air_fog</t>
    </r>
    <r>
      <rPr>
        <sz val="10"/>
        <rFont val="Verdana"/>
        <family val="2"/>
      </rPr>
      <t xml:space="preserve"> </t>
    </r>
  </si>
  <si>
    <r>
      <t>kg.d</t>
    </r>
    <r>
      <rPr>
        <vertAlign val="superscript"/>
        <sz val="10"/>
        <color theme="1"/>
        <rFont val="Verdana"/>
        <family val="2"/>
      </rPr>
      <t>-1</t>
    </r>
  </si>
  <si>
    <r>
      <t>N</t>
    </r>
    <r>
      <rPr>
        <vertAlign val="subscript"/>
        <sz val="10"/>
        <rFont val="Verdana"/>
        <family val="2"/>
      </rPr>
      <t>app-bioc</t>
    </r>
  </si>
  <si>
    <r>
      <t>applications.yr</t>
    </r>
    <r>
      <rPr>
        <vertAlign val="superscript"/>
        <sz val="10"/>
        <rFont val="Verdana"/>
        <family val="2"/>
      </rPr>
      <t>-1</t>
    </r>
  </si>
  <si>
    <r>
      <t>Standard concentration in air at 100 m from source for a source strength of 1 kg.d</t>
    </r>
    <r>
      <rPr>
        <vertAlign val="superscript"/>
        <sz val="10"/>
        <rFont val="Verdana"/>
        <family val="2"/>
      </rPr>
      <t>-1 4</t>
    </r>
  </si>
  <si>
    <r>
      <t>Cstd</t>
    </r>
    <r>
      <rPr>
        <vertAlign val="subscript"/>
        <sz val="10"/>
        <rFont val="Verdana"/>
        <family val="2"/>
      </rPr>
      <t>air</t>
    </r>
  </si>
  <si>
    <r>
      <t>mg.m</t>
    </r>
    <r>
      <rPr>
        <vertAlign val="superscript"/>
        <sz val="10"/>
        <rFont val="Verdana"/>
        <family val="2"/>
      </rPr>
      <t>-3</t>
    </r>
  </si>
  <si>
    <r>
      <t>kg.d-</t>
    </r>
    <r>
      <rPr>
        <vertAlign val="superscript"/>
        <sz val="10"/>
        <rFont val="Verdana"/>
        <family val="2"/>
      </rPr>
      <t>1</t>
    </r>
  </si>
  <si>
    <r>
      <t>d.yr</t>
    </r>
    <r>
      <rPr>
        <vertAlign val="superscript"/>
        <sz val="10"/>
        <rFont val="Verdana"/>
        <family val="2"/>
      </rPr>
      <t>-1</t>
    </r>
  </si>
  <si>
    <r>
      <t>Elocal_air</t>
    </r>
    <r>
      <rPr>
        <vertAlign val="subscript"/>
        <sz val="10"/>
        <rFont val="Verdana"/>
        <family val="2"/>
      </rPr>
      <t>mammal</t>
    </r>
  </si>
  <si>
    <r>
      <t>Elocal_air</t>
    </r>
    <r>
      <rPr>
        <vertAlign val="subscript"/>
        <sz val="10"/>
        <rFont val="Verdana"/>
        <family val="2"/>
      </rPr>
      <t>poultry</t>
    </r>
  </si>
  <si>
    <r>
      <t>Elocal_water</t>
    </r>
    <r>
      <rPr>
        <vertAlign val="subscript"/>
        <sz val="10"/>
        <rFont val="Verdana"/>
        <family val="2"/>
      </rPr>
      <t>mammal</t>
    </r>
  </si>
  <si>
    <r>
      <t>Elocal_water</t>
    </r>
    <r>
      <rPr>
        <vertAlign val="subscript"/>
        <sz val="10"/>
        <rFont val="Verdana"/>
        <family val="2"/>
      </rPr>
      <t>poultry</t>
    </r>
  </si>
  <si>
    <t>Vprod</t>
  </si>
  <si>
    <t>Fair</t>
  </si>
  <si>
    <t>Fstp</t>
  </si>
  <si>
    <r>
      <t>Qai-air = Edirect</t>
    </r>
    <r>
      <rPr>
        <vertAlign val="subscript"/>
        <sz val="10"/>
        <color theme="1"/>
        <rFont val="Verdana"/>
        <family val="2"/>
      </rPr>
      <t xml:space="preserve">air </t>
    </r>
  </si>
  <si>
    <r>
      <t>Qai-air = Edirect</t>
    </r>
    <r>
      <rPr>
        <vertAlign val="subscript"/>
        <sz val="10"/>
        <color theme="1"/>
        <rFont val="Verdana"/>
        <family val="2"/>
      </rPr>
      <t>air</t>
    </r>
  </si>
  <si>
    <r>
      <t>Cdirect</t>
    </r>
    <r>
      <rPr>
        <vertAlign val="subscript"/>
        <sz val="10"/>
        <color theme="1"/>
        <rFont val="Verdana"/>
        <family val="2"/>
      </rPr>
      <t xml:space="preserve">air </t>
    </r>
  </si>
  <si>
    <r>
      <rPr>
        <b/>
        <sz val="10"/>
        <rFont val="Verdana"/>
        <family val="2"/>
      </rPr>
      <t>Cdirect</t>
    </r>
    <r>
      <rPr>
        <b/>
        <vertAlign val="subscript"/>
        <sz val="10"/>
        <rFont val="Verdana"/>
        <family val="2"/>
      </rPr>
      <t xml:space="preserve">air mammal/poultry </t>
    </r>
    <r>
      <rPr>
        <sz val="10"/>
        <rFont val="Verdana"/>
        <family val="2"/>
      </rPr>
      <t>= Edirect</t>
    </r>
    <r>
      <rPr>
        <vertAlign val="subscript"/>
        <sz val="10"/>
        <rFont val="Verdana"/>
        <family val="2"/>
      </rPr>
      <t>air mammal/poultry</t>
    </r>
    <r>
      <rPr>
        <sz val="10"/>
        <rFont val="Verdana"/>
        <family val="2"/>
      </rPr>
      <t xml:space="preserve"> * Cstd</t>
    </r>
    <r>
      <rPr>
        <vertAlign val="subscript"/>
        <sz val="10"/>
        <rFont val="Verdana"/>
        <family val="2"/>
      </rPr>
      <t>air</t>
    </r>
    <r>
      <rPr>
        <sz val="10"/>
        <rFont val="Verdana"/>
        <family val="2"/>
      </rPr>
      <t xml:space="preserve"> * Napp-bioc /(Temission*Source_strength)</t>
    </r>
  </si>
  <si>
    <r>
      <rPr>
        <b/>
        <sz val="10"/>
        <rFont val="Verdana"/>
        <family val="2"/>
      </rPr>
      <t>Qai-prescr</t>
    </r>
    <r>
      <rPr>
        <b/>
        <vertAlign val="subscript"/>
        <sz val="10"/>
        <rFont val="Verdana"/>
        <family val="2"/>
      </rPr>
      <t>mammal</t>
    </r>
    <r>
      <rPr>
        <b/>
        <sz val="10"/>
        <rFont val="Verdana"/>
        <family val="2"/>
      </rPr>
      <t xml:space="preserve"> </t>
    </r>
    <r>
      <rPr>
        <sz val="10"/>
        <rFont val="Verdana"/>
        <family val="2"/>
      </rPr>
      <t>= 10</t>
    </r>
    <r>
      <rPr>
        <vertAlign val="superscript"/>
        <sz val="10"/>
        <rFont val="Verdana"/>
        <family val="2"/>
      </rPr>
      <t>-3</t>
    </r>
    <r>
      <rPr>
        <sz val="10"/>
        <rFont val="Verdana"/>
        <family val="2"/>
      </rPr>
      <t xml:space="preserve"> * Fbioc * Vprod * F</t>
    </r>
    <r>
      <rPr>
        <vertAlign val="subscript"/>
        <sz val="10"/>
        <rFont val="Verdana"/>
        <family val="2"/>
      </rPr>
      <t>dil</t>
    </r>
    <r>
      <rPr>
        <sz val="10"/>
        <rFont val="Verdana"/>
        <family val="2"/>
      </rPr>
      <t xml:space="preserve"> * AREA</t>
    </r>
    <r>
      <rPr>
        <vertAlign val="subscript"/>
        <sz val="10"/>
        <rFont val="Verdana"/>
        <family val="2"/>
      </rPr>
      <t>mam</t>
    </r>
  </si>
  <si>
    <r>
      <rPr>
        <b/>
        <sz val="10"/>
        <rFont val="Verdana"/>
        <family val="2"/>
      </rPr>
      <t>Qai-prescr</t>
    </r>
    <r>
      <rPr>
        <b/>
        <vertAlign val="subscript"/>
        <sz val="10"/>
        <rFont val="Verdana"/>
        <family val="2"/>
      </rPr>
      <t>poultry</t>
    </r>
    <r>
      <rPr>
        <b/>
        <sz val="10"/>
        <rFont val="Verdana"/>
        <family val="2"/>
      </rPr>
      <t xml:space="preserve"> </t>
    </r>
    <r>
      <rPr>
        <sz val="10"/>
        <rFont val="Verdana"/>
        <family val="2"/>
      </rPr>
      <t>= 10</t>
    </r>
    <r>
      <rPr>
        <vertAlign val="superscript"/>
        <sz val="10"/>
        <rFont val="Verdana"/>
        <family val="2"/>
      </rPr>
      <t>-3</t>
    </r>
    <r>
      <rPr>
        <sz val="10"/>
        <rFont val="Verdana"/>
        <family val="2"/>
      </rPr>
      <t xml:space="preserve"> * Fbioc * Vprod * F</t>
    </r>
    <r>
      <rPr>
        <vertAlign val="subscript"/>
        <sz val="10"/>
        <rFont val="Verdana"/>
        <family val="2"/>
      </rPr>
      <t>dil</t>
    </r>
    <r>
      <rPr>
        <sz val="10"/>
        <rFont val="Verdana"/>
        <family val="2"/>
      </rPr>
      <t xml:space="preserve"> * ( AREA</t>
    </r>
    <r>
      <rPr>
        <vertAlign val="subscript"/>
        <sz val="10"/>
        <rFont val="Verdana"/>
        <family val="2"/>
      </rPr>
      <t>poul</t>
    </r>
    <r>
      <rPr>
        <sz val="10"/>
        <rFont val="Verdana"/>
        <family val="2"/>
      </rPr>
      <t xml:space="preserve"> + AREA</t>
    </r>
    <r>
      <rPr>
        <vertAlign val="subscript"/>
        <sz val="10"/>
        <rFont val="Verdana"/>
        <family val="2"/>
      </rPr>
      <t>cont</t>
    </r>
    <r>
      <rPr>
        <sz val="10"/>
        <rFont val="Verdana"/>
        <family val="2"/>
      </rPr>
      <t xml:space="preserve"> )</t>
    </r>
  </si>
  <si>
    <r>
      <t>Qai-stp = Elocal</t>
    </r>
    <r>
      <rPr>
        <vertAlign val="subscript"/>
        <sz val="10"/>
        <rFont val="Verdana"/>
        <family val="2"/>
      </rPr>
      <t>wastewater</t>
    </r>
  </si>
  <si>
    <r>
      <rPr>
        <b/>
        <sz val="10"/>
        <rFont val="Verdana"/>
        <family val="2"/>
      </rPr>
      <t>Qai-stp</t>
    </r>
    <r>
      <rPr>
        <b/>
        <vertAlign val="subscript"/>
        <sz val="10"/>
        <rFont val="Verdana"/>
        <family val="2"/>
      </rPr>
      <t>mammal</t>
    </r>
    <r>
      <rPr>
        <sz val="10"/>
        <rFont val="Verdana"/>
        <family val="2"/>
      </rPr>
      <t xml:space="preserve"> = Fstp * Qai-prescr</t>
    </r>
    <r>
      <rPr>
        <vertAlign val="subscript"/>
        <sz val="10"/>
        <rFont val="Verdana"/>
        <family val="2"/>
      </rPr>
      <t>mammal</t>
    </r>
  </si>
  <si>
    <r>
      <rPr>
        <b/>
        <sz val="10"/>
        <rFont val="Verdana"/>
        <family val="2"/>
      </rPr>
      <t>Qai-stp</t>
    </r>
    <r>
      <rPr>
        <b/>
        <vertAlign val="subscript"/>
        <sz val="10"/>
        <rFont val="Verdana"/>
        <family val="2"/>
      </rPr>
      <t>poultry</t>
    </r>
    <r>
      <rPr>
        <sz val="10"/>
        <rFont val="Verdana"/>
        <family val="2"/>
      </rPr>
      <t xml:space="preserve"> = Fstp * Qai-prescr</t>
    </r>
    <r>
      <rPr>
        <vertAlign val="subscript"/>
        <sz val="10"/>
        <rFont val="Verdana"/>
        <family val="2"/>
      </rPr>
      <t xml:space="preserve">poultry </t>
    </r>
  </si>
  <si>
    <r>
      <t>Elocal_water</t>
    </r>
    <r>
      <rPr>
        <b/>
        <vertAlign val="subscript"/>
        <sz val="10"/>
        <rFont val="Verdana"/>
        <family val="2"/>
      </rPr>
      <t>poultry</t>
    </r>
    <r>
      <rPr>
        <b/>
        <sz val="10"/>
        <rFont val="Verdana"/>
        <family val="2"/>
      </rPr>
      <t xml:space="preserve"> </t>
    </r>
    <r>
      <rPr>
        <sz val="10"/>
        <rFont val="Verdana"/>
        <family val="2"/>
      </rPr>
      <t>= Qai-stp</t>
    </r>
    <r>
      <rPr>
        <vertAlign val="subscript"/>
        <sz val="10"/>
        <rFont val="Verdana"/>
        <family val="2"/>
      </rPr>
      <t>poultry</t>
    </r>
    <r>
      <rPr>
        <sz val="10"/>
        <rFont val="Verdana"/>
        <family val="2"/>
      </rPr>
      <t xml:space="preserve"> * Napp-bioc /Temission</t>
    </r>
  </si>
  <si>
    <r>
      <t>Elocal_water</t>
    </r>
    <r>
      <rPr>
        <b/>
        <vertAlign val="subscript"/>
        <sz val="10"/>
        <rFont val="Verdana"/>
        <family val="2"/>
      </rPr>
      <t>mammal</t>
    </r>
    <r>
      <rPr>
        <b/>
        <sz val="10"/>
        <rFont val="Verdana"/>
        <family val="2"/>
      </rPr>
      <t xml:space="preserve"> </t>
    </r>
    <r>
      <rPr>
        <sz val="10"/>
        <rFont val="Verdana"/>
        <family val="2"/>
      </rPr>
      <t>= Qai-stp</t>
    </r>
    <r>
      <rPr>
        <vertAlign val="subscript"/>
        <sz val="10"/>
        <rFont val="Verdana"/>
        <family val="2"/>
      </rPr>
      <t>mammal</t>
    </r>
    <r>
      <rPr>
        <sz val="10"/>
        <rFont val="Verdana"/>
        <family val="2"/>
      </rPr>
      <t xml:space="preserve"> * Napp-bioc /Temission</t>
    </r>
  </si>
  <si>
    <r>
      <rPr>
        <b/>
        <sz val="10"/>
        <rFont val="Verdana"/>
        <family val="2"/>
      </rPr>
      <t>Edirect</t>
    </r>
    <r>
      <rPr>
        <b/>
        <vertAlign val="subscript"/>
        <sz val="10"/>
        <rFont val="Verdana"/>
        <family val="2"/>
      </rPr>
      <t>air mammal</t>
    </r>
    <r>
      <rPr>
        <b/>
        <sz val="10"/>
        <rFont val="Verdana"/>
        <family val="2"/>
      </rPr>
      <t xml:space="preserve"> = Qai-air </t>
    </r>
    <r>
      <rPr>
        <sz val="10"/>
        <rFont val="Verdana"/>
        <family val="2"/>
      </rPr>
      <t>= Fair * Qai-prescr</t>
    </r>
    <r>
      <rPr>
        <vertAlign val="subscript"/>
        <sz val="10"/>
        <rFont val="Verdana"/>
        <family val="2"/>
      </rPr>
      <t>mammal</t>
    </r>
  </si>
  <si>
    <r>
      <rPr>
        <b/>
        <sz val="10"/>
        <rFont val="Verdana"/>
        <family val="2"/>
      </rPr>
      <t>Edirect</t>
    </r>
    <r>
      <rPr>
        <b/>
        <vertAlign val="subscript"/>
        <sz val="10"/>
        <rFont val="Verdana"/>
        <family val="2"/>
      </rPr>
      <t>air poultry</t>
    </r>
    <r>
      <rPr>
        <b/>
        <sz val="10"/>
        <rFont val="Verdana"/>
        <family val="2"/>
      </rPr>
      <t xml:space="preserve"> = Qai-air </t>
    </r>
    <r>
      <rPr>
        <sz val="10"/>
        <rFont val="Verdana"/>
        <family val="2"/>
      </rPr>
      <t>= Fair * Qai-prescr</t>
    </r>
    <r>
      <rPr>
        <vertAlign val="subscript"/>
        <sz val="10"/>
        <rFont val="Verdana"/>
        <family val="2"/>
      </rPr>
      <t>poultry</t>
    </r>
  </si>
  <si>
    <r>
      <t>Elocal_air</t>
    </r>
    <r>
      <rPr>
        <b/>
        <vertAlign val="subscript"/>
        <sz val="10"/>
        <rFont val="Verdana"/>
        <family val="2"/>
      </rPr>
      <t>mammal</t>
    </r>
    <r>
      <rPr>
        <b/>
        <sz val="10"/>
        <rFont val="Verdana"/>
        <family val="2"/>
      </rPr>
      <t xml:space="preserve"> </t>
    </r>
    <r>
      <rPr>
        <sz val="10"/>
        <rFont val="Verdana"/>
        <family val="2"/>
      </rPr>
      <t>= Edirect</t>
    </r>
    <r>
      <rPr>
        <vertAlign val="subscript"/>
        <sz val="10"/>
        <rFont val="Verdana"/>
        <family val="2"/>
      </rPr>
      <t>air mammal</t>
    </r>
    <r>
      <rPr>
        <sz val="10"/>
        <rFont val="Verdana"/>
        <family val="2"/>
      </rPr>
      <t xml:space="preserve"> * Napp-bioc /Temission</t>
    </r>
  </si>
  <si>
    <r>
      <t>Elocal_air</t>
    </r>
    <r>
      <rPr>
        <b/>
        <vertAlign val="subscript"/>
        <sz val="10"/>
        <rFont val="Verdana"/>
        <family val="2"/>
      </rPr>
      <t>poultry</t>
    </r>
    <r>
      <rPr>
        <b/>
        <sz val="10"/>
        <rFont val="Verdana"/>
        <family val="2"/>
      </rPr>
      <t xml:space="preserve"> </t>
    </r>
    <r>
      <rPr>
        <sz val="10"/>
        <rFont val="Verdana"/>
        <family val="2"/>
      </rPr>
      <t>= Edirect</t>
    </r>
    <r>
      <rPr>
        <vertAlign val="subscript"/>
        <sz val="10"/>
        <rFont val="Verdana"/>
        <family val="2"/>
      </rPr>
      <t>air poultry</t>
    </r>
    <r>
      <rPr>
        <sz val="10"/>
        <rFont val="Verdana"/>
        <family val="2"/>
      </rPr>
      <t xml:space="preserve"> * Napp-bioc /Temission</t>
    </r>
  </si>
  <si>
    <t>Air</t>
  </si>
  <si>
    <r>
      <t>F</t>
    </r>
    <r>
      <rPr>
        <vertAlign val="subscript"/>
        <sz val="10"/>
        <color theme="1"/>
        <rFont val="Verdana"/>
        <family val="2"/>
      </rPr>
      <t>air</t>
    </r>
  </si>
  <si>
    <t>Qai-air</t>
  </si>
  <si>
    <r>
      <rPr>
        <b/>
        <sz val="10"/>
        <rFont val="Verdana"/>
        <family val="2"/>
      </rPr>
      <t>Qai-air</t>
    </r>
    <r>
      <rPr>
        <sz val="10"/>
        <rFont val="Verdana"/>
        <family val="2"/>
      </rPr>
      <t xml:space="preserve"> = Fair * Qai-prescr</t>
    </r>
  </si>
  <si>
    <t>Amount of active substance reaching the standard STP (for the relevant cases)</t>
  </si>
  <si>
    <r>
      <t>Cdirect</t>
    </r>
    <r>
      <rPr>
        <vertAlign val="subscript"/>
        <sz val="10"/>
        <rFont val="Verdana"/>
        <family val="2"/>
      </rPr>
      <t>air</t>
    </r>
  </si>
  <si>
    <t xml:space="preserve">Number of emission days per year </t>
  </si>
  <si>
    <t>Number of biocidal product applications in one year</t>
  </si>
  <si>
    <t xml:space="preserve">Available at: https://echa.europa.eu/guidance-documents/guidance-on-biocides-legislation/emission-scenario-documents </t>
  </si>
  <si>
    <r>
      <t>F</t>
    </r>
    <r>
      <rPr>
        <vertAlign val="subscript"/>
        <sz val="10"/>
        <color theme="1"/>
        <rFont val="Verdana"/>
        <family val="2"/>
      </rPr>
      <t>teat</t>
    </r>
  </si>
  <si>
    <t>Napp-teat</t>
  </si>
  <si>
    <t>Number of days of lactation period (corresponds to number of emission days)</t>
  </si>
  <si>
    <t>Number of disinfectant applications in one year (equals number of disinfectant applications in one lactation period)</t>
  </si>
  <si>
    <t>Nday-lact (= Temission)</t>
  </si>
  <si>
    <r>
      <t>d.yr</t>
    </r>
    <r>
      <rPr>
        <vertAlign val="superscript"/>
        <sz val="10"/>
        <color theme="1"/>
        <rFont val="Verdana"/>
        <family val="2"/>
      </rPr>
      <t>-1</t>
    </r>
  </si>
  <si>
    <t>Time interval between two applications (tub fillings)</t>
  </si>
  <si>
    <t xml:space="preserve">Type of biocide: Disinfectant </t>
  </si>
  <si>
    <t>Type of application: Bath</t>
  </si>
  <si>
    <t>Type of application: Dipping</t>
  </si>
  <si>
    <t>Fraction released to air</t>
  </si>
  <si>
    <t>Fraction of active substance remaining on teats (worst case)</t>
  </si>
  <si>
    <t>Volume of the reservoir (tub)</t>
  </si>
  <si>
    <t>Vreserv</t>
  </si>
  <si>
    <t>L</t>
  </si>
  <si>
    <t>Dilution factor (for preparation of the working solution from the biocidal product)</t>
  </si>
  <si>
    <t>Fdil</t>
  </si>
  <si>
    <t xml:space="preserve">If the biocidal product is not diluted (i.e. is also used as working solution) enter the value of undiluted product prescribed to be used and enter below a dilution factor of 1. </t>
  </si>
  <si>
    <t>Foaming</t>
  </si>
  <si>
    <t>Content of active substance in biocidal product</t>
  </si>
  <si>
    <t>% (w/w)</t>
  </si>
  <si>
    <t>Select units</t>
  </si>
  <si>
    <r>
      <t>g.L</t>
    </r>
    <r>
      <rPr>
        <vertAlign val="superscript"/>
        <sz val="10"/>
        <color theme="1"/>
        <rFont val="Verdana"/>
        <family val="2"/>
      </rPr>
      <t>-1</t>
    </r>
  </si>
  <si>
    <t xml:space="preserve">    Groundwater and surface water - in arable land areas</t>
  </si>
  <si>
    <t xml:space="preserve">    Groundwater and surface water - in grassland areas</t>
  </si>
  <si>
    <t xml:space="preserve">    Air</t>
  </si>
  <si>
    <t>Releases to slurry/manure</t>
  </si>
  <si>
    <t>Releases to wastewater</t>
  </si>
  <si>
    <t>Fraction of active substance released (the defaults represent worst-case scenario for each compartment)</t>
  </si>
  <si>
    <t>ESD PT 3, Table 4a</t>
  </si>
  <si>
    <t>Napp-bioc</t>
  </si>
  <si>
    <t>Number of biocidal product applications (tub fillings) in one year</t>
  </si>
  <si>
    <r>
      <rPr>
        <b/>
        <sz val="10"/>
        <rFont val="Verdana"/>
        <family val="2"/>
      </rPr>
      <t>Qai-prescr</t>
    </r>
    <r>
      <rPr>
        <sz val="10"/>
        <rFont val="Verdana"/>
        <family val="2"/>
      </rPr>
      <t xml:space="preserve"> = 10</t>
    </r>
    <r>
      <rPr>
        <vertAlign val="superscript"/>
        <sz val="10"/>
        <rFont val="Verdana"/>
        <family val="2"/>
      </rPr>
      <t xml:space="preserve">-3 </t>
    </r>
    <r>
      <rPr>
        <sz val="10"/>
        <rFont val="Verdana"/>
        <family val="2"/>
      </rPr>
      <t xml:space="preserve">* Fbioc * Vreserv * Fdil </t>
    </r>
  </si>
  <si>
    <t>Amount of diluted biocidal product prescribed to be used for one treatment (dipping of the four teats) of one animal</t>
  </si>
  <si>
    <t>Fraction of active substance released</t>
  </si>
  <si>
    <t>ESD PT 3, Table 3a</t>
  </si>
  <si>
    <r>
      <rPr>
        <b/>
        <sz val="10"/>
        <rFont val="Verdana"/>
        <family val="2"/>
      </rPr>
      <t>Qai-prescr</t>
    </r>
    <r>
      <rPr>
        <sz val="10"/>
        <rFont val="Verdana"/>
        <family val="2"/>
      </rPr>
      <t xml:space="preserve"> = 10</t>
    </r>
    <r>
      <rPr>
        <vertAlign val="superscript"/>
        <sz val="10"/>
        <rFont val="Verdana"/>
        <family val="2"/>
      </rPr>
      <t xml:space="preserve">-3 </t>
    </r>
    <r>
      <rPr>
        <sz val="10"/>
        <rFont val="Verdana"/>
        <family val="2"/>
      </rPr>
      <t xml:space="preserve">* Fbioc * Vprod * Fdil </t>
    </r>
  </si>
  <si>
    <t>Number of biocidal product applications (tub fillings) in one day</t>
  </si>
  <si>
    <t>ESD PT 3, Table 5a</t>
  </si>
  <si>
    <t xml:space="preserve">Number of days with disinfectant applications in one year </t>
  </si>
  <si>
    <t xml:space="preserve">Time interval between two days with disinfectant applications </t>
  </si>
  <si>
    <t>Time interval between two disinfectant applications (dipping events)</t>
  </si>
  <si>
    <t>Ntub-filling</t>
  </si>
  <si>
    <t>This workbook provides a calculation tool for estimating the environmental releases from the use of veterinary human hygiene biocidal products. It consists of seven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that needs to be taken into account in order to correctly use this spreadsheet.</t>
  </si>
  <si>
    <r>
      <rPr>
        <b/>
        <sz val="10"/>
        <rFont val="Verdana"/>
        <family val="2"/>
      </rPr>
      <t>Cdirect</t>
    </r>
    <r>
      <rPr>
        <b/>
        <vertAlign val="subscript"/>
        <sz val="10"/>
        <rFont val="Verdana"/>
        <family val="2"/>
      </rPr>
      <t xml:space="preserve">air  </t>
    </r>
    <r>
      <rPr>
        <sz val="10"/>
        <rFont val="Verdana"/>
        <family val="2"/>
      </rPr>
      <t>= Qai-air</t>
    </r>
    <r>
      <rPr>
        <vertAlign val="subscript"/>
        <sz val="10"/>
        <rFont val="Verdana"/>
        <family val="2"/>
      </rPr>
      <t xml:space="preserve"> </t>
    </r>
    <r>
      <rPr>
        <sz val="10"/>
        <rFont val="Verdana"/>
        <family val="2"/>
      </rPr>
      <t xml:space="preserve"> * Cstd</t>
    </r>
    <r>
      <rPr>
        <vertAlign val="subscript"/>
        <sz val="10"/>
        <rFont val="Verdana"/>
        <family val="2"/>
      </rPr>
      <t>air</t>
    </r>
    <r>
      <rPr>
        <sz val="10"/>
        <rFont val="Verdana"/>
        <family val="2"/>
      </rPr>
      <t xml:space="preserve"> * Napp-bioc / (Temission * Source strength)</t>
    </r>
  </si>
  <si>
    <r>
      <rPr>
        <b/>
        <sz val="10"/>
        <color theme="1"/>
        <rFont val="Verdana"/>
        <family val="2"/>
      </rPr>
      <t>Qai-wastewater</t>
    </r>
    <r>
      <rPr>
        <sz val="10"/>
        <color theme="1"/>
        <rFont val="Verdana"/>
        <family val="2"/>
      </rPr>
      <t xml:space="preserve"> = Fwastewater * Qai-prescr * Ntub-filling</t>
    </r>
  </si>
  <si>
    <t>Emission scenario for disinfectants used for veterinary hygiene: disinfection of hatcheries</t>
  </si>
  <si>
    <t>Emission scenario for disinfectants used for veterinary hygiene: disinfection of animal's feet</t>
  </si>
  <si>
    <t>Emission scenario for disinfectants used for veterinary hygiene: disinfection of footwear</t>
  </si>
  <si>
    <t>Emission scenario for disinfectants used for veterinary hygiene: non-medical teat dips</t>
  </si>
  <si>
    <r>
      <rPr>
        <b/>
        <sz val="10"/>
        <color theme="1"/>
        <rFont val="Verdana"/>
        <family val="2"/>
      </rPr>
      <t>Qai-wastewater</t>
    </r>
    <r>
      <rPr>
        <sz val="10"/>
        <color theme="1"/>
        <rFont val="Verdana"/>
        <family val="2"/>
      </rPr>
      <t xml:space="preserve"> = Fwastewater * Qai-prescr * N * Napp-teat * Temission /365</t>
    </r>
  </si>
  <si>
    <t>Nmp-animal</t>
  </si>
  <si>
    <t>Number of milk producing animals per day</t>
  </si>
  <si>
    <r>
      <rPr>
        <b/>
        <sz val="10"/>
        <color theme="1"/>
        <rFont val="Verdana"/>
        <family val="2"/>
      </rPr>
      <t>Qai-manure/slurry</t>
    </r>
    <r>
      <rPr>
        <sz val="10"/>
        <color theme="1"/>
        <rFont val="Verdana"/>
        <family val="2"/>
      </rPr>
      <t xml:space="preserve"> = Fmanure/slurry * Qai-prescr * Nmp-animal</t>
    </r>
  </si>
  <si>
    <r>
      <rPr>
        <b/>
        <sz val="10"/>
        <color theme="1"/>
        <rFont val="Verdana"/>
        <family val="2"/>
      </rPr>
      <t>Qai-wastewater</t>
    </r>
    <r>
      <rPr>
        <sz val="10"/>
        <color theme="1"/>
        <rFont val="Verdana"/>
        <family val="2"/>
      </rPr>
      <t xml:space="preserve"> = Fwastewater * Qai-prescr * Nmp-animal</t>
    </r>
  </si>
  <si>
    <t>Local emission from one day (one tub filling/day), to a standard STP or an on-site waste water treatment plant</t>
  </si>
  <si>
    <t>Local emission to a standard STP or an on-site wastewater treatment plant</t>
  </si>
  <si>
    <r>
      <t>F</t>
    </r>
    <r>
      <rPr>
        <vertAlign val="subscript"/>
        <sz val="10"/>
        <rFont val="Verdana"/>
        <family val="2"/>
      </rPr>
      <t>slurry/manure</t>
    </r>
    <r>
      <rPr>
        <sz val="10"/>
        <rFont val="Verdana"/>
        <family val="2"/>
      </rPr>
      <t xml:space="preserve"> = 1-F</t>
    </r>
    <r>
      <rPr>
        <vertAlign val="subscript"/>
        <sz val="10"/>
        <rFont val="Verdana"/>
        <family val="2"/>
      </rPr>
      <t>teat</t>
    </r>
  </si>
  <si>
    <r>
      <t>F</t>
    </r>
    <r>
      <rPr>
        <vertAlign val="subscript"/>
        <sz val="10"/>
        <rFont val="Verdana"/>
        <family val="2"/>
      </rPr>
      <t>wastewater</t>
    </r>
    <r>
      <rPr>
        <sz val="10"/>
        <rFont val="Verdana"/>
        <family val="2"/>
      </rPr>
      <t xml:space="preserve"> = 1-F</t>
    </r>
    <r>
      <rPr>
        <vertAlign val="subscript"/>
        <sz val="10"/>
        <rFont val="Verdana"/>
        <family val="2"/>
      </rPr>
      <t>teat</t>
    </r>
  </si>
  <si>
    <t>Emission scenario for disinfectants used for disinfection of animal housings</t>
  </si>
  <si>
    <t>Number of milking events per day/consideration of pre- and post- milking events</t>
  </si>
  <si>
    <t>Manual milking: pre- and post- milking application and 2 milking events per day</t>
  </si>
  <si>
    <t>Robot milking: pre- and post- milking application and 3 milking events per day</t>
  </si>
  <si>
    <t>Enter value below</t>
  </si>
  <si>
    <t>Select pre-defined value or enter value in the orange cell</t>
  </si>
  <si>
    <t>Nday-lact (= Temission) (ESD PT 3, Table 3a)</t>
  </si>
  <si>
    <t>Emission scenario for disinfectants used for disinfection of vehicles used for animal transport</t>
  </si>
  <si>
    <t>Emission scenario for disinfectants used for veterinary hygiene non medical teat dips</t>
  </si>
  <si>
    <t>Emission scenario for disinfectants used for veterinary hygiene disinfection of footwear</t>
  </si>
  <si>
    <t>Emission scenario for disinfectants used for disinfection of tools by dipping</t>
  </si>
  <si>
    <t>Emission scenario for disinfectants used for veterinary hygiene disinfection of animal's feet</t>
  </si>
  <si>
    <t>Emission scenario for disinfectants used for veterinary hygiene disinfection of hatcheries</t>
  </si>
  <si>
    <r>
      <t>DEPTH</t>
    </r>
    <r>
      <rPr>
        <vertAlign val="subscript"/>
        <sz val="10"/>
        <rFont val="Verdana"/>
        <family val="2"/>
      </rPr>
      <t>arable_land</t>
    </r>
  </si>
  <si>
    <t>First order rate constant for volatilisation from soil, grassland</t>
  </si>
  <si>
    <t>kvolat_ar</t>
  </si>
  <si>
    <t>kleach_ar</t>
  </si>
  <si>
    <r>
      <rPr>
        <sz val="10"/>
        <color theme="1"/>
        <rFont val="Verdana"/>
        <family val="2"/>
      </rPr>
      <t>DT50bio</t>
    </r>
    <r>
      <rPr>
        <vertAlign val="subscript"/>
        <sz val="10"/>
        <color theme="1"/>
        <rFont val="Verdana"/>
        <family val="2"/>
      </rPr>
      <t>soil</t>
    </r>
    <r>
      <rPr>
        <sz val="10"/>
        <color theme="1"/>
        <rFont val="Verdana"/>
        <family val="2"/>
      </rPr>
      <t>_gr</t>
    </r>
  </si>
  <si>
    <r>
      <t>DT50bio</t>
    </r>
    <r>
      <rPr>
        <vertAlign val="subscript"/>
        <sz val="10"/>
        <color theme="1"/>
        <rFont val="Verdana"/>
        <family val="2"/>
      </rPr>
      <t>soil</t>
    </r>
    <r>
      <rPr>
        <sz val="10"/>
        <color theme="1"/>
        <rFont val="Verdana"/>
        <family val="2"/>
      </rPr>
      <t>_ar</t>
    </r>
  </si>
  <si>
    <t>kvolat_gr</t>
  </si>
  <si>
    <t>kleach_gr</t>
  </si>
  <si>
    <t>k_gr</t>
  </si>
  <si>
    <t>First order rate constant for volatilisation from soil, arable land</t>
  </si>
  <si>
    <t>Further input parameters for grassland</t>
  </si>
  <si>
    <t>First order rate constant for leaching from top soil, grassland</t>
  </si>
  <si>
    <t>Further input parameters for arable land</t>
  </si>
  <si>
    <t xml:space="preserve">First order rate constant for degradation in bulk soil, grassland </t>
  </si>
  <si>
    <t>Overall removal rate constant in soil, grassland</t>
  </si>
  <si>
    <t>k_ar</t>
  </si>
  <si>
    <t>kdeg_gr</t>
  </si>
  <si>
    <t>kdeg_ar</t>
  </si>
  <si>
    <r>
      <t>kdeg_ar = ln2 / DT50bio</t>
    </r>
    <r>
      <rPr>
        <vertAlign val="subscript"/>
        <sz val="10"/>
        <color theme="1"/>
        <rFont val="Verdana"/>
        <family val="2"/>
      </rPr>
      <t>soil</t>
    </r>
    <r>
      <rPr>
        <sz val="10"/>
        <color theme="1"/>
        <rFont val="Verdana"/>
        <family val="2"/>
      </rPr>
      <t xml:space="preserve"> _ar</t>
    </r>
  </si>
  <si>
    <r>
      <t>kdeg_gr = ln2 / DT50bio</t>
    </r>
    <r>
      <rPr>
        <vertAlign val="subscript"/>
        <sz val="10"/>
        <color theme="1"/>
        <rFont val="Verdana"/>
        <family val="2"/>
      </rPr>
      <t>soil</t>
    </r>
    <r>
      <rPr>
        <sz val="10"/>
        <color theme="1"/>
        <rFont val="Verdana"/>
        <family val="2"/>
      </rPr>
      <t>_gr</t>
    </r>
  </si>
  <si>
    <t>First order rate constant for leaching from top soil, arable land</t>
  </si>
  <si>
    <t>First order rate constant for degradation in bulk soil, arable land</t>
  </si>
  <si>
    <t>Overall removal rate constant in soil, arable land</t>
  </si>
  <si>
    <t>BPR Guidance Vol IV Part B+C (2017), Table 3</t>
  </si>
  <si>
    <t>k_gr = kvolat_gr + kleach_gr + kdeg_gr</t>
  </si>
  <si>
    <t>k_ar = kvolat_ar + kleach_ar + kdeg_ar</t>
  </si>
  <si>
    <r>
      <rPr>
        <sz val="10"/>
        <color theme="1"/>
        <rFont val="Verdana"/>
        <family val="2"/>
      </rPr>
      <t>DT50bio</t>
    </r>
    <r>
      <rPr>
        <vertAlign val="subscript"/>
        <sz val="10"/>
        <color theme="1"/>
        <rFont val="Verdana"/>
        <family val="2"/>
      </rPr>
      <t>soil</t>
    </r>
    <r>
      <rPr>
        <sz val="10"/>
        <color theme="1"/>
        <rFont val="Verdana"/>
        <family val="2"/>
      </rPr>
      <t>_ar</t>
    </r>
  </si>
  <si>
    <r>
      <t>kdeg_ar = ln2 / DT50bio</t>
    </r>
    <r>
      <rPr>
        <vertAlign val="subscript"/>
        <sz val="10"/>
        <color theme="1"/>
        <rFont val="Verdana"/>
        <family val="2"/>
      </rPr>
      <t>soil</t>
    </r>
    <r>
      <rPr>
        <sz val="10"/>
        <color theme="1"/>
        <rFont val="Verdana"/>
        <family val="2"/>
      </rPr>
      <t>_ar</t>
    </r>
  </si>
  <si>
    <t xml:space="preserve">First order rate constant for degradation in bulk soil, arable land </t>
  </si>
  <si>
    <r>
      <rPr>
        <sz val="10"/>
        <rFont val="Symbol"/>
        <family val="1"/>
        <charset val="2"/>
      </rPr>
      <t>m</t>
    </r>
    <r>
      <rPr>
        <sz val="10"/>
        <rFont val="Verdana"/>
        <family val="2"/>
      </rPr>
      <t>g.L</t>
    </r>
    <r>
      <rPr>
        <vertAlign val="superscript"/>
        <sz val="10"/>
        <rFont val="Verdana"/>
        <family val="2"/>
      </rPr>
      <t xml:space="preserve">-1 </t>
    </r>
  </si>
  <si>
    <t>The remaining releases are to wastewater OR to manure/slurry (the worst case is calculated for both compartments):</t>
  </si>
  <si>
    <r>
      <t>kg.application</t>
    </r>
    <r>
      <rPr>
        <vertAlign val="superscript"/>
        <sz val="10"/>
        <rFont val="Verdana"/>
        <family val="2"/>
      </rPr>
      <t>-1</t>
    </r>
  </si>
  <si>
    <r>
      <t>kg.d</t>
    </r>
    <r>
      <rPr>
        <vertAlign val="superscript"/>
        <sz val="10"/>
        <rFont val="Verdana"/>
        <family val="2"/>
      </rPr>
      <t>-1</t>
    </r>
  </si>
  <si>
    <t>Number of manure applications for grassland, in one year</t>
  </si>
  <si>
    <t>Number of manure applications for arable land, in one year</t>
  </si>
  <si>
    <r>
      <t>L.kg</t>
    </r>
    <r>
      <rPr>
        <vertAlign val="superscript"/>
        <sz val="10"/>
        <rFont val="Verdana"/>
        <family val="2"/>
      </rPr>
      <t>-1</t>
    </r>
  </si>
  <si>
    <r>
      <t>mg.L</t>
    </r>
    <r>
      <rPr>
        <vertAlign val="superscript"/>
        <sz val="10"/>
        <rFont val="Verdana"/>
        <family val="2"/>
      </rPr>
      <t>-1</t>
    </r>
  </si>
  <si>
    <r>
      <t>L.m</t>
    </r>
    <r>
      <rPr>
        <vertAlign val="superscript"/>
        <sz val="10"/>
        <color theme="1"/>
        <rFont val="Verdana"/>
        <family val="2"/>
      </rPr>
      <t>-2</t>
    </r>
  </si>
  <si>
    <t xml:space="preserve">For example: If the biocidal product is diluted 1/10 (= 1:10), the dilution factor is 0.1. If the biocidal product is also used as working solution, the dilution factor is 1. </t>
  </si>
  <si>
    <r>
      <t>g.ml</t>
    </r>
    <r>
      <rPr>
        <vertAlign val="superscript"/>
        <sz val="10"/>
        <rFont val="Verdana"/>
        <family val="2"/>
      </rPr>
      <t>-1</t>
    </r>
  </si>
  <si>
    <r>
      <t>g.mL</t>
    </r>
    <r>
      <rPr>
        <vertAlign val="superscript"/>
        <sz val="10"/>
        <rFont val="Verdana"/>
        <family val="2"/>
      </rPr>
      <t>-1</t>
    </r>
  </si>
  <si>
    <t>Purity of the active substance</t>
  </si>
  <si>
    <t>Purity of a.s. is given in the SPC. If not known enter 100%.</t>
  </si>
  <si>
    <r>
      <t>PIECar-N</t>
    </r>
    <r>
      <rPr>
        <vertAlign val="subscript"/>
        <sz val="10"/>
        <color theme="1"/>
        <rFont val="Verdana"/>
        <family val="2"/>
      </rPr>
      <t xml:space="preserve"> </t>
    </r>
  </si>
  <si>
    <t>Nlapp-gr</t>
  </si>
  <si>
    <t>Nlapp-ar</t>
  </si>
  <si>
    <t>Nlapp-ar,10</t>
  </si>
  <si>
    <t>Qai-gr_manure/slurry</t>
  </si>
  <si>
    <t>Qai-gr_manure/slurry+wastewater</t>
  </si>
  <si>
    <t>Qai-ar_manure/slurry</t>
  </si>
  <si>
    <t>Qai-ar_manure/slurry+wastewater</t>
  </si>
  <si>
    <t>Qnitrog-gr</t>
  </si>
  <si>
    <t>Qnitrog-ar</t>
  </si>
  <si>
    <r>
      <rPr>
        <b/>
        <sz val="10"/>
        <rFont val="Verdana"/>
        <family val="2"/>
      </rPr>
      <t>Qnitrog-gr</t>
    </r>
    <r>
      <rPr>
        <sz val="10"/>
        <rFont val="Verdana"/>
        <family val="2"/>
      </rPr>
      <t xml:space="preserve"> = N * Qnitrog * Tgr-int</t>
    </r>
  </si>
  <si>
    <t>Time weighted average concentration during 30 days in arable land (used for calculation of surface water concentration)</t>
  </si>
  <si>
    <t>Time weighted average concentration during 180 days in arable land (used for calculation of groundwater concentration)</t>
  </si>
  <si>
    <r>
      <t>PIECar</t>
    </r>
    <r>
      <rPr>
        <vertAlign val="subscript"/>
        <sz val="10"/>
        <color theme="1"/>
        <rFont val="Verdana"/>
        <family val="2"/>
      </rPr>
      <t>10_degr</t>
    </r>
    <r>
      <rPr>
        <sz val="10"/>
        <color theme="1"/>
        <rFont val="Verdana"/>
        <family val="2"/>
      </rPr>
      <t>-N</t>
    </r>
  </si>
  <si>
    <r>
      <t>PEClocal</t>
    </r>
    <r>
      <rPr>
        <vertAlign val="subscript"/>
        <sz val="10"/>
        <color theme="1"/>
        <rFont val="Verdana"/>
        <family val="2"/>
      </rPr>
      <t>soil,porew_ar</t>
    </r>
  </si>
  <si>
    <r>
      <t>PEC</t>
    </r>
    <r>
      <rPr>
        <vertAlign val="subscript"/>
        <sz val="10"/>
        <color theme="1"/>
        <rFont val="Verdana"/>
        <family val="2"/>
      </rPr>
      <t>sw_ar</t>
    </r>
  </si>
  <si>
    <t>Time weighted average concentration during 30 days in grassland (used for calculation of surface water concentration)</t>
  </si>
  <si>
    <t>Time weighted average concentration during 180 days in grassland (used for calculation of groundwater concentration)</t>
  </si>
  <si>
    <r>
      <t>PIECgr_1-N</t>
    </r>
    <r>
      <rPr>
        <vertAlign val="subscript"/>
        <sz val="10"/>
        <color theme="1"/>
        <rFont val="Verdana"/>
        <family val="2"/>
      </rPr>
      <t xml:space="preserve"> </t>
    </r>
  </si>
  <si>
    <r>
      <t>PIECgr_4-N</t>
    </r>
    <r>
      <rPr>
        <vertAlign val="subscript"/>
        <sz val="10"/>
        <color theme="1"/>
        <rFont val="Verdana"/>
        <family val="2"/>
      </rPr>
      <t xml:space="preserve"> </t>
    </r>
  </si>
  <si>
    <r>
      <t>PIECgr</t>
    </r>
    <r>
      <rPr>
        <vertAlign val="subscript"/>
        <sz val="10"/>
        <color theme="1"/>
        <rFont val="Verdana"/>
        <family val="2"/>
      </rPr>
      <t>4_degr</t>
    </r>
    <r>
      <rPr>
        <sz val="10"/>
        <color theme="1"/>
        <rFont val="Verdana"/>
        <family val="2"/>
      </rPr>
      <t>-N</t>
    </r>
    <r>
      <rPr>
        <vertAlign val="subscript"/>
        <sz val="10"/>
        <color theme="1"/>
        <rFont val="Verdana"/>
        <family val="2"/>
      </rPr>
      <t xml:space="preserve"> </t>
    </r>
  </si>
  <si>
    <r>
      <t>PIECgr</t>
    </r>
    <r>
      <rPr>
        <vertAlign val="subscript"/>
        <sz val="10"/>
        <rFont val="Verdana"/>
        <family val="2"/>
      </rPr>
      <t>10_degr</t>
    </r>
    <r>
      <rPr>
        <sz val="10"/>
        <rFont val="Verdana"/>
        <family val="2"/>
      </rPr>
      <t>-N</t>
    </r>
  </si>
  <si>
    <t>PECgr-TWA_30d</t>
  </si>
  <si>
    <t>PECgr-TWA_180d</t>
  </si>
  <si>
    <r>
      <t>PEClocal</t>
    </r>
    <r>
      <rPr>
        <vertAlign val="subscript"/>
        <sz val="10"/>
        <color theme="1"/>
        <rFont val="Verdana"/>
        <family val="2"/>
      </rPr>
      <t>soil,porew_gr</t>
    </r>
  </si>
  <si>
    <r>
      <t>PEC</t>
    </r>
    <r>
      <rPr>
        <vertAlign val="subscript"/>
        <sz val="10"/>
        <color theme="1"/>
        <rFont val="Verdana"/>
        <family val="2"/>
      </rPr>
      <t>sw_gr</t>
    </r>
  </si>
  <si>
    <r>
      <t xml:space="preserve">Concentration of the active substance in soil based on nitrogen immission standard for arable land, one manure application event per year, </t>
    </r>
    <r>
      <rPr>
        <sz val="10"/>
        <color theme="1"/>
        <rFont val="Verdana"/>
        <family val="2"/>
      </rPr>
      <t>removal processes from soil not taken into account</t>
    </r>
  </si>
  <si>
    <t>Considering removal processes from soil, after 10 consecutive years application</t>
  </si>
  <si>
    <r>
      <t xml:space="preserve">Concentration of the active substance in soil based on nitrogen immission standard for arable land and one manure application event per year, after ten consecutive years, taking </t>
    </r>
    <r>
      <rPr>
        <sz val="10"/>
        <color theme="1"/>
        <rFont val="Verdana"/>
        <family val="2"/>
      </rPr>
      <t>removal processes from soil into account</t>
    </r>
  </si>
  <si>
    <r>
      <t xml:space="preserve">Concentration of the active substance in soil based on nitrogen immission standard for grassland, </t>
    </r>
    <r>
      <rPr>
        <b/>
        <sz val="10"/>
        <rFont val="Verdana"/>
        <family val="2"/>
      </rPr>
      <t>one manure application event</t>
    </r>
    <r>
      <rPr>
        <sz val="10"/>
        <rFont val="Verdana"/>
        <family val="2"/>
      </rPr>
      <t>, removal processes from soil not taken into account</t>
    </r>
  </si>
  <si>
    <r>
      <t xml:space="preserve">Concentration of the active substance in soil based on nitrogen immission standard for grassland, </t>
    </r>
    <r>
      <rPr>
        <b/>
        <sz val="10"/>
        <rFont val="Verdana"/>
        <family val="2"/>
      </rPr>
      <t>four manure application events</t>
    </r>
    <r>
      <rPr>
        <sz val="10"/>
        <rFont val="Verdana"/>
        <family val="2"/>
      </rPr>
      <t>, removal processes from soil not taken into account</t>
    </r>
  </si>
  <si>
    <t xml:space="preserve">Considering removal processes from soil, after 1 year application </t>
  </si>
  <si>
    <t>Concentration of the active substance in soil based on nitrogen immission standard for grassland land, four manure application events, taking removal processes from soil into account</t>
  </si>
  <si>
    <t>Concentration of the active substance in grassland soil based on nitrogen immission standard after the last of four manure applications per year, after ten consecutive years, taking removal processes from soil into account</t>
  </si>
  <si>
    <t>FOGGING (revised fractions for aerosols for PT 18, as included in TAB ENV 233 - as per conclusion at WGI2021_ENV_8-6_a)</t>
  </si>
  <si>
    <t>FOAMING (same fractions as for spraying application, as included in TAB ENV 233 - as per conclusion at WGI2021_ENV_8-6_a)</t>
  </si>
  <si>
    <t>FUMIGATION (same fractions as for fumigation for PT 18, as included in TAB ENV 233 - as per conclusion at WGI2021_ENV_8-6_a)</t>
  </si>
  <si>
    <t>Fumigation</t>
  </si>
  <si>
    <t>ESD PT 3, Table 10; ESD PT 18 Table 5.4 and TAB ENV 233</t>
  </si>
  <si>
    <r>
      <t>Half-life time for biodegradation in soil, grassland, at 12</t>
    </r>
    <r>
      <rPr>
        <sz val="10"/>
        <rFont val="Calibri"/>
        <family val="2"/>
      </rPr>
      <t>°</t>
    </r>
    <r>
      <rPr>
        <sz val="8.5"/>
        <rFont val="Verdana"/>
        <family val="2"/>
      </rPr>
      <t>C</t>
    </r>
  </si>
  <si>
    <t>Half-life time for biodegradation in soil, arable land, at 12°C</t>
  </si>
  <si>
    <r>
      <t>mg.L</t>
    </r>
    <r>
      <rPr>
        <vertAlign val="superscript"/>
        <sz val="10"/>
        <rFont val="Verdana"/>
        <family val="2"/>
      </rPr>
      <t xml:space="preserve">-1 </t>
    </r>
  </si>
  <si>
    <r>
      <rPr>
        <b/>
        <i/>
        <sz val="10"/>
        <color rgb="FF0070C0"/>
        <rFont val="Verdana"/>
        <family val="2"/>
      </rPr>
      <t>eq 53 Guidance on BPR Vol IV Env Parts B+C v2.0</t>
    </r>
    <r>
      <rPr>
        <b/>
        <sz val="10"/>
        <rFont val="Verdana"/>
        <family val="2"/>
      </rPr>
      <t xml:space="preserve">
PEClocal</t>
    </r>
    <r>
      <rPr>
        <b/>
        <vertAlign val="subscript"/>
        <sz val="10"/>
        <rFont val="Verdana"/>
        <family val="2"/>
      </rPr>
      <t>sed_gr</t>
    </r>
    <r>
      <rPr>
        <sz val="10"/>
        <rFont val="Verdana"/>
        <family val="2"/>
      </rPr>
      <t xml:space="preserve"> = PEC</t>
    </r>
    <r>
      <rPr>
        <vertAlign val="subscript"/>
        <sz val="10"/>
        <rFont val="Verdana"/>
        <family val="2"/>
      </rPr>
      <t>sw_gr</t>
    </r>
    <r>
      <rPr>
        <sz val="10"/>
        <rFont val="Verdana"/>
        <family val="2"/>
      </rPr>
      <t xml:space="preserve"> * Ksusp_water * 1000/ RHOsusp </t>
    </r>
  </si>
  <si>
    <r>
      <rPr>
        <b/>
        <i/>
        <sz val="10"/>
        <color rgb="FF0070C0"/>
        <rFont val="Verdana"/>
        <family val="2"/>
      </rPr>
      <t>eq 53 Guidance on BPR Vol IV Env Parts B+C v2.0</t>
    </r>
    <r>
      <rPr>
        <b/>
        <sz val="10"/>
        <rFont val="Verdana"/>
        <family val="2"/>
      </rPr>
      <t xml:space="preserve">
PEClocal</t>
    </r>
    <r>
      <rPr>
        <b/>
        <vertAlign val="subscript"/>
        <sz val="10"/>
        <rFont val="Verdana"/>
        <family val="2"/>
      </rPr>
      <t>sed_ar</t>
    </r>
    <r>
      <rPr>
        <sz val="10"/>
        <rFont val="Verdana"/>
        <family val="2"/>
      </rPr>
      <t xml:space="preserve"> = PEC</t>
    </r>
    <r>
      <rPr>
        <vertAlign val="subscript"/>
        <sz val="10"/>
        <rFont val="Verdana"/>
        <family val="2"/>
      </rPr>
      <t>sw_ar</t>
    </r>
    <r>
      <rPr>
        <sz val="10"/>
        <rFont val="Verdana"/>
        <family val="2"/>
      </rPr>
      <t xml:space="preserve"> * Ksusp_water * 1000/ RHOsusp </t>
    </r>
  </si>
  <si>
    <t>Default values can be replaced by user-defined values, provided these are adequately justified.</t>
  </si>
  <si>
    <t>g a.s./m2</t>
  </si>
  <si>
    <t>g a.s./m3</t>
  </si>
  <si>
    <t>L diluted b.p./m2</t>
  </si>
  <si>
    <t>L diluted b.p./m3</t>
  </si>
  <si>
    <t>Select AREA or VOLUME treatment</t>
  </si>
  <si>
    <t>AREA treatment</t>
  </si>
  <si>
    <t>VOLUME treatment</t>
  </si>
  <si>
    <t>m3</t>
  </si>
  <si>
    <t>Way of application</t>
  </si>
  <si>
    <t>Application rate</t>
  </si>
  <si>
    <t>app_rate</t>
  </si>
  <si>
    <r>
      <t>Amount of diluted biocidal product prescribed to be used per m</t>
    </r>
    <r>
      <rPr>
        <vertAlign val="superscript"/>
        <sz val="10"/>
        <rFont val="Verdana"/>
        <family val="2"/>
      </rPr>
      <t>2</t>
    </r>
    <r>
      <rPr>
        <sz val="10"/>
        <rFont val="Verdana"/>
        <family val="2"/>
      </rPr>
      <t xml:space="preserve"> or m</t>
    </r>
    <r>
      <rPr>
        <vertAlign val="superscript"/>
        <sz val="10"/>
        <rFont val="Verdana"/>
        <family val="2"/>
      </rPr>
      <t>3</t>
    </r>
  </si>
  <si>
    <t>Qprod</t>
  </si>
  <si>
    <t xml:space="preserve">Application rate </t>
  </si>
  <si>
    <r>
      <rPr>
        <sz val="10"/>
        <rFont val="Verdana"/>
        <family val="2"/>
      </rPr>
      <t>Qprod * Fdil * Fbioc</t>
    </r>
    <r>
      <rPr>
        <sz val="10"/>
        <color rgb="FFFF0000"/>
        <rFont val="Verdana"/>
        <family val="2"/>
      </rPr>
      <t xml:space="preserve">
Copy the value calculated here to the </t>
    </r>
    <r>
      <rPr>
        <b/>
        <sz val="10"/>
        <color rgb="FFFF0000"/>
        <rFont val="Verdana"/>
        <family val="2"/>
      </rPr>
      <t xml:space="preserve">app_rate cell </t>
    </r>
    <r>
      <rPr>
        <sz val="10"/>
        <color rgb="FFFF0000"/>
        <rFont val="Verdana"/>
        <family val="2"/>
      </rPr>
      <t>above</t>
    </r>
  </si>
  <si>
    <t>Units according to Guidance on BPR: Vol IV Env Part B+C</t>
  </si>
  <si>
    <t>Might become redundant when using the Arrhenius equation for temperature correction. Then the biodegradation rate constant in soil (kdeg_gr) is already available.</t>
  </si>
  <si>
    <t>Might become redundant when using the Arrhenius equation for temperature correction. Then the biodegradation rate constant in soil (kdeg_ar) is already available.</t>
  </si>
  <si>
    <t>Housing volume</t>
  </si>
  <si>
    <t>Select area/volume or define value (enter value in orange cell)</t>
  </si>
  <si>
    <t>AREA and VOLUME for disinfectants</t>
  </si>
  <si>
    <t xml:space="preserve">Area/volume of the housing for application </t>
  </si>
  <si>
    <r>
      <rPr>
        <b/>
        <sz val="10"/>
        <color rgb="FFFF0000"/>
        <rFont val="Verdana"/>
        <family val="2"/>
      </rPr>
      <t>To enter customised area or volume</t>
    </r>
    <r>
      <rPr>
        <sz val="10"/>
        <color rgb="FFFF0000"/>
        <rFont val="Verdana"/>
        <family val="2"/>
      </rPr>
      <t xml:space="preserve"> values select the option "define area or volume" from the drop down list above and enter the values in the respective orange cells </t>
    </r>
    <r>
      <rPr>
        <b/>
        <sz val="12"/>
        <color rgb="FFFF0000"/>
        <rFont val="Calibri"/>
        <family val="2"/>
      </rPr>
      <t>→</t>
    </r>
    <r>
      <rPr>
        <sz val="10"/>
        <color rgb="FFFF0000"/>
        <rFont val="Verdana"/>
        <family val="2"/>
      </rPr>
      <t xml:space="preserve">
</t>
    </r>
    <r>
      <rPr>
        <b/>
        <sz val="10"/>
        <color rgb="FFFF0000"/>
        <rFont val="Verdana"/>
        <family val="2"/>
      </rPr>
      <t>Note</t>
    </r>
    <r>
      <rPr>
        <sz val="10"/>
        <color rgb="FFFF0000"/>
        <rFont val="Verdana"/>
        <family val="2"/>
      </rPr>
      <t xml:space="preserve"> that with this option you need to manually enter values for all the categories you want to assess.</t>
    </r>
    <r>
      <rPr>
        <sz val="12"/>
        <color rgb="FFFF0000"/>
        <rFont val="Verdana"/>
        <family val="2"/>
      </rPr>
      <t xml:space="preserve"> </t>
    </r>
  </si>
  <si>
    <r>
      <t>If application rate units are g a.s./m</t>
    </r>
    <r>
      <rPr>
        <vertAlign val="superscript"/>
        <sz val="10"/>
        <rFont val="Verdana"/>
        <family val="2"/>
      </rPr>
      <t>2</t>
    </r>
    <r>
      <rPr>
        <sz val="10"/>
        <rFont val="Verdana"/>
        <family val="2"/>
      </rPr>
      <t xml:space="preserve">, then </t>
    </r>
    <r>
      <rPr>
        <b/>
        <sz val="10"/>
        <rFont val="Verdana"/>
        <family val="2"/>
      </rPr>
      <t xml:space="preserve">Qai-prescr = </t>
    </r>
    <r>
      <rPr>
        <sz val="10"/>
        <rFont val="Verdana"/>
        <family val="2"/>
      </rPr>
      <t>10</t>
    </r>
    <r>
      <rPr>
        <vertAlign val="superscript"/>
        <sz val="10"/>
        <rFont val="Verdana"/>
        <family val="2"/>
      </rPr>
      <t>-3</t>
    </r>
    <r>
      <rPr>
        <sz val="10"/>
        <rFont val="Verdana"/>
        <family val="2"/>
      </rPr>
      <t xml:space="preserve"> * app_rate * AREA
If application rate units are g a.s./m3, then </t>
    </r>
    <r>
      <rPr>
        <b/>
        <sz val="10"/>
        <rFont val="Verdana"/>
        <family val="2"/>
      </rPr>
      <t>Qai-prescr</t>
    </r>
    <r>
      <rPr>
        <sz val="10"/>
        <rFont val="Verdana"/>
        <family val="2"/>
      </rPr>
      <t xml:space="preserve"> = 10</t>
    </r>
    <r>
      <rPr>
        <vertAlign val="superscript"/>
        <sz val="10"/>
        <rFont val="Verdana"/>
        <family val="2"/>
      </rPr>
      <t>-3</t>
    </r>
    <r>
      <rPr>
        <sz val="10"/>
        <rFont val="Verdana"/>
        <family val="2"/>
      </rPr>
      <t xml:space="preserve"> * app_rate * VOLUME</t>
    </r>
  </si>
  <si>
    <t>TAB ENV 54</t>
  </si>
  <si>
    <t>ESD PT 3 Table 7 - Index i1</t>
  </si>
  <si>
    <t>ESD PT 3 Table 8</t>
  </si>
  <si>
    <t>ESD PT 18 Table 5.2</t>
  </si>
  <si>
    <t>TOTAL AREA for
DISINFECTANTS
Total area (all surfaces)</t>
  </si>
  <si>
    <t>Total area for disinfectants (total housing area+slatted+other areas+manure area inside)</t>
  </si>
  <si>
    <t>Define area or volume (enter value in orange cell)</t>
  </si>
  <si>
    <r>
      <t>ESD PT 18 Table 5.5</t>
    </r>
    <r>
      <rPr>
        <b/>
        <vertAlign val="superscript"/>
        <sz val="14"/>
        <color theme="1"/>
        <rFont val="Verdana"/>
        <family val="2"/>
      </rPr>
      <t>*</t>
    </r>
  </si>
  <si>
    <t>* Note: In Table 11 from ESD PT3 the Qnitrogen values for subcategory i1=7 and i1=10 are incorrectly mixed up. Therefore the values from the ESD PT 18 are used here.</t>
  </si>
  <si>
    <t>Instructions for using the tables:</t>
  </si>
  <si>
    <t>- select the way of application;</t>
  </si>
  <si>
    <t>- enter values for the number of (repeated) biocidal product applications in animal housings and the application interval, as provided by the applicant;</t>
  </si>
  <si>
    <t>- enter values for the parameters Ksoil-water, Kp,susp and Ksusp-water;</t>
  </si>
  <si>
    <t>- finally select area treatment or volume treatment, followed by the area or the volume of the housing for application from the drop-down list or enter your own value (provided by the applicant);</t>
  </si>
  <si>
    <t>- Technical Agreements for Biocides</t>
  </si>
  <si>
    <t>- Addendum to OECD Series on emission scenario documents, Number 14: Emission scenario document for insecticides for stables and manure storage systems (TAB entry 212)</t>
  </si>
  <si>
    <t>- ESD for PT 3: Emission scenario document for Product Type 3 -  Veterinary hygiene biocidal products (EC JRC, 2011)</t>
  </si>
  <si>
    <t>- ESD for PT 18: Emission scenario document for insecticides for stables and manure storage systems (ENV/JM/MONO(2006)4, 2006)</t>
  </si>
  <si>
    <t>Enter the content of a.s. in the b.p. and select the respective units.</t>
  </si>
  <si>
    <r>
      <rPr>
        <b/>
        <sz val="10"/>
        <rFont val="Verdana"/>
        <family val="2"/>
      </rPr>
      <t>Biocidal product density</t>
    </r>
    <r>
      <rPr>
        <sz val="10"/>
        <rFont val="Verdana"/>
        <family val="2"/>
      </rPr>
      <t xml:space="preserve">
If content of active substance in biocidal product is set in %(w/w), insert biocidal product density value here. Otherwise leave the field empty.</t>
    </r>
  </si>
  <si>
    <r>
      <t>Fbioc in g.L</t>
    </r>
    <r>
      <rPr>
        <vertAlign val="superscript"/>
        <sz val="10"/>
        <color theme="1"/>
        <rFont val="Verdana"/>
        <family val="2"/>
      </rPr>
      <t>-1</t>
    </r>
  </si>
  <si>
    <t>This value will be used in the following calculations</t>
  </si>
  <si>
    <t>Input for the calculation of the amount of active substance to be used for one application</t>
  </si>
  <si>
    <r>
      <t>Fbioc in g.L</t>
    </r>
    <r>
      <rPr>
        <vertAlign val="superscript"/>
        <sz val="10"/>
        <color theme="1"/>
        <rFont val="Verdana"/>
        <family val="2"/>
      </rPr>
      <t>-1</t>
    </r>
    <r>
      <rPr>
        <sz val="10"/>
        <color theme="1"/>
        <rFont val="Verdana"/>
        <family val="2"/>
      </rPr>
      <t xml:space="preserve"> or %(w/w)</t>
    </r>
  </si>
  <si>
    <t>Define value (enter value in the orange cell)</t>
  </si>
  <si>
    <r>
      <t>Half-life time for biodegradation in soil, arable land, at 12</t>
    </r>
    <r>
      <rPr>
        <sz val="10"/>
        <rFont val="Calibri"/>
        <family val="2"/>
      </rPr>
      <t>°</t>
    </r>
    <r>
      <rPr>
        <sz val="8.5"/>
        <rFont val="Verdana"/>
        <family val="2"/>
      </rPr>
      <t>C</t>
    </r>
  </si>
  <si>
    <r>
      <t xml:space="preserve">To enter customised value select the option "Define value (enter value in the orange cell)" from the drop down list above and enter the value in the orange cell (otherwise leave the orange cell empty) </t>
    </r>
    <r>
      <rPr>
        <b/>
        <sz val="12"/>
        <color rgb="FFFF0000"/>
        <rFont val="Calibri"/>
        <family val="2"/>
      </rPr>
      <t>→</t>
    </r>
  </si>
  <si>
    <t>Napp-bioc = Napp-teat * Nday-lact  (TAB ENV 64)</t>
  </si>
  <si>
    <t>Tbioc-int = 1d / Napp-teat (TAB ENV 64)</t>
  </si>
  <si>
    <t>Dairy cows - Grazing season
(cat 1)</t>
  </si>
  <si>
    <t>Dairy cows
(cat 1)</t>
  </si>
  <si>
    <t>PECar-TWA_30d</t>
  </si>
  <si>
    <t>PECar-TWA_180d</t>
  </si>
  <si>
    <t>TAB ENV 55</t>
  </si>
  <si>
    <t>Input for the calculation of the amount of active substance to be used for one application (one tub filling)</t>
  </si>
  <si>
    <r>
      <t xml:space="preserve">An </t>
    </r>
    <r>
      <rPr>
        <b/>
        <sz val="10"/>
        <rFont val="Verdana"/>
        <family val="2"/>
      </rPr>
      <t>additional default value has been agreed for the
disinfection with mats</t>
    </r>
    <r>
      <rPr>
        <sz val="10"/>
        <rFont val="Verdana"/>
        <family val="2"/>
      </rPr>
      <t xml:space="preserve">: a default value of </t>
    </r>
    <r>
      <rPr>
        <b/>
        <sz val="10"/>
        <rFont val="Verdana"/>
        <family val="2"/>
      </rPr>
      <t>60 L b.p./100 animals. Replace the default value of 675 (L) if applicable.</t>
    </r>
    <r>
      <rPr>
        <sz val="10"/>
        <rFont val="Verdana"/>
        <family val="2"/>
      </rPr>
      <t xml:space="preserve"> (TAB ENV 59)</t>
    </r>
  </si>
  <si>
    <t>Number of teat dipping events for one animal and one day (dipping of the four teats of one animal = one disinfectant application) (TAB ENV 64)</t>
  </si>
  <si>
    <t>Emission scenario for disinfectants used for veterinary hygiene: dipping bath for tools</t>
  </si>
  <si>
    <t>Addendum to ESD PT 18 stables (TAB ENV 212)</t>
  </si>
  <si>
    <t>ESD PT 18 stables, Table 6.1</t>
  </si>
  <si>
    <t>ESD PT 18 stables, Table 5.5.</t>
  </si>
  <si>
    <r>
      <rPr>
        <b/>
        <i/>
        <sz val="10"/>
        <color rgb="FF0070C0"/>
        <rFont val="Verdana"/>
        <family val="2"/>
      </rPr>
      <t>eq 25 ESD PT 18 stables / Addendum to ESD PT 18 stables (TAB ENV 212)</t>
    </r>
    <r>
      <rPr>
        <b/>
        <sz val="10"/>
        <color theme="1"/>
        <rFont val="Verdana"/>
        <family val="2"/>
      </rPr>
      <t xml:space="preserve">
PIECar-N</t>
    </r>
    <r>
      <rPr>
        <sz val="10"/>
        <color theme="1"/>
        <rFont val="Verdana"/>
        <family val="2"/>
      </rPr>
      <t xml:space="preserve"> = 100 * Qai-ar * Q</t>
    </r>
    <r>
      <rPr>
        <vertAlign val="subscript"/>
        <sz val="10"/>
        <color theme="1"/>
        <rFont val="Verdana"/>
        <family val="2"/>
      </rPr>
      <t>N,arable-land</t>
    </r>
    <r>
      <rPr>
        <sz val="10"/>
        <color theme="1"/>
        <rFont val="Verdana"/>
        <family val="2"/>
      </rPr>
      <t xml:space="preserve"> / (Qnitrog-ar * DEPTH</t>
    </r>
    <r>
      <rPr>
        <vertAlign val="subscript"/>
        <sz val="10"/>
        <color theme="1"/>
        <rFont val="Verdana"/>
        <family val="2"/>
      </rPr>
      <t>arab-land</t>
    </r>
    <r>
      <rPr>
        <sz val="10"/>
        <color theme="1"/>
        <rFont val="Verdana"/>
        <family val="2"/>
      </rPr>
      <t xml:space="preserve"> * RHOsoil</t>
    </r>
    <r>
      <rPr>
        <vertAlign val="subscript"/>
        <sz val="10"/>
        <color theme="1"/>
        <rFont val="Verdana"/>
        <family val="2"/>
      </rPr>
      <t>wet</t>
    </r>
    <r>
      <rPr>
        <sz val="10"/>
        <color theme="1"/>
        <rFont val="Verdana"/>
        <family val="2"/>
      </rPr>
      <t>)</t>
    </r>
  </si>
  <si>
    <r>
      <rPr>
        <b/>
        <i/>
        <sz val="10"/>
        <color rgb="FF0070C0"/>
        <rFont val="Verdana"/>
        <family val="2"/>
      </rPr>
      <t>eq 8a and 25a (combined) Addendum to ESD PT 18 stables (TAB ENV 212)</t>
    </r>
    <r>
      <rPr>
        <b/>
        <sz val="10"/>
        <rFont val="Verdana"/>
        <family val="2"/>
      </rPr>
      <t xml:space="preserve">
PIECar</t>
    </r>
    <r>
      <rPr>
        <b/>
        <vertAlign val="subscript"/>
        <sz val="10"/>
        <rFont val="Verdana"/>
        <family val="2"/>
      </rPr>
      <t>10_degr</t>
    </r>
    <r>
      <rPr>
        <b/>
        <sz val="10"/>
        <rFont val="Verdana"/>
        <family val="2"/>
      </rPr>
      <t>-N</t>
    </r>
    <r>
      <rPr>
        <sz val="10"/>
        <rFont val="Verdana"/>
        <family val="2"/>
      </rPr>
      <t xml:space="preserve"> = PIECar-N * { [1-(e</t>
    </r>
    <r>
      <rPr>
        <vertAlign val="superscript"/>
        <sz val="10"/>
        <rFont val="Verdana"/>
        <family val="2"/>
      </rPr>
      <t>-k * Tar-int,10</t>
    </r>
    <r>
      <rPr>
        <sz val="10"/>
        <rFont val="Verdana"/>
        <family val="2"/>
      </rPr>
      <t>)</t>
    </r>
    <r>
      <rPr>
        <vertAlign val="superscript"/>
        <sz val="10"/>
        <rFont val="Verdana"/>
        <family val="2"/>
      </rPr>
      <t>Nlapp-ar,10</t>
    </r>
    <r>
      <rPr>
        <sz val="10"/>
        <rFont val="Verdana"/>
        <family val="2"/>
      </rPr>
      <t>] / [1-e</t>
    </r>
    <r>
      <rPr>
        <vertAlign val="superscript"/>
        <sz val="10"/>
        <rFont val="Verdana"/>
        <family val="2"/>
      </rPr>
      <t>-k * Tar-int,10</t>
    </r>
    <r>
      <rPr>
        <sz val="10"/>
        <rFont val="Verdana"/>
        <family val="2"/>
      </rPr>
      <t xml:space="preserve"> ] }</t>
    </r>
  </si>
  <si>
    <r>
      <rPr>
        <b/>
        <i/>
        <sz val="10"/>
        <color rgb="FF0070C0"/>
        <rFont val="Verdana"/>
        <family val="2"/>
      </rPr>
      <t>eq 113 Guidance on BPR Vol IV Env Parts B+C v2.0 / eq 38 Addendum to ESD PT 18 stables (TAB ENV 212)</t>
    </r>
    <r>
      <rPr>
        <b/>
        <sz val="10"/>
        <rFont val="Verdana"/>
        <family val="2"/>
      </rPr>
      <t xml:space="preserve">
PECar-TWA_30d </t>
    </r>
    <r>
      <rPr>
        <sz val="10"/>
        <rFont val="Verdana"/>
        <family val="2"/>
      </rPr>
      <t>= PIECar</t>
    </r>
    <r>
      <rPr>
        <vertAlign val="subscript"/>
        <sz val="10"/>
        <rFont val="Verdana"/>
        <family val="2"/>
      </rPr>
      <t>10_degr</t>
    </r>
    <r>
      <rPr>
        <sz val="10"/>
        <rFont val="Verdana"/>
        <family val="2"/>
      </rPr>
      <t>-N * (1 - e</t>
    </r>
    <r>
      <rPr>
        <vertAlign val="superscript"/>
        <sz val="10"/>
        <rFont val="Verdana"/>
        <family val="2"/>
      </rPr>
      <t>-k * 30</t>
    </r>
    <r>
      <rPr>
        <sz val="10"/>
        <rFont val="Verdana"/>
        <family val="2"/>
      </rPr>
      <t>) / (k * 30)</t>
    </r>
  </si>
  <si>
    <r>
      <rPr>
        <b/>
        <i/>
        <sz val="10"/>
        <color rgb="FF0070C0"/>
        <rFont val="Verdana"/>
        <family val="2"/>
      </rPr>
      <t>eq 113 Guidance on BPR Vol IV Env Parts B+C v2.0 / eq 38 Addendum to ESD PT 18 stables (TAB ENV 212)</t>
    </r>
    <r>
      <rPr>
        <b/>
        <sz val="10"/>
        <rFont val="Verdana"/>
        <family val="2"/>
      </rPr>
      <t xml:space="preserve">
PECar-TWA_180d </t>
    </r>
    <r>
      <rPr>
        <sz val="10"/>
        <rFont val="Verdana"/>
        <family val="2"/>
      </rPr>
      <t>= PIECar</t>
    </r>
    <r>
      <rPr>
        <vertAlign val="subscript"/>
        <sz val="10"/>
        <rFont val="Verdana"/>
        <family val="2"/>
      </rPr>
      <t>10_degr</t>
    </r>
    <r>
      <rPr>
        <sz val="10"/>
        <rFont val="Verdana"/>
        <family val="2"/>
      </rPr>
      <t>-N * (1 - e</t>
    </r>
    <r>
      <rPr>
        <vertAlign val="superscript"/>
        <sz val="10"/>
        <rFont val="Verdana"/>
        <family val="2"/>
      </rPr>
      <t>-k * 180</t>
    </r>
    <r>
      <rPr>
        <sz val="10"/>
        <rFont val="Verdana"/>
        <family val="2"/>
      </rPr>
      <t>) / (k * 180)</t>
    </r>
  </si>
  <si>
    <r>
      <rPr>
        <b/>
        <i/>
        <sz val="10"/>
        <color rgb="FF0070C0"/>
        <rFont val="Verdana"/>
        <family val="2"/>
      </rPr>
      <t>eq 70 Guidance on BPR Vol IV Env Parts B+C v2.0 / eq 40 Addendum to ESD PT 18 stables (TAB ENV 212)</t>
    </r>
    <r>
      <rPr>
        <b/>
        <sz val="10"/>
        <color theme="1"/>
        <rFont val="Verdana"/>
        <family val="2"/>
      </rPr>
      <t xml:space="preserve">
PEClocal</t>
    </r>
    <r>
      <rPr>
        <b/>
        <vertAlign val="subscript"/>
        <sz val="10"/>
        <color theme="1"/>
        <rFont val="Verdana"/>
        <family val="2"/>
      </rPr>
      <t>soil,porew_ar</t>
    </r>
    <r>
      <rPr>
        <b/>
        <sz val="10"/>
        <color theme="1"/>
        <rFont val="Verdana"/>
        <family val="2"/>
      </rPr>
      <t xml:space="preserve"> </t>
    </r>
    <r>
      <rPr>
        <sz val="10"/>
        <color theme="1"/>
        <rFont val="Verdana"/>
        <family val="2"/>
      </rPr>
      <t>= PECar-TWA_180d * RHOsoil</t>
    </r>
    <r>
      <rPr>
        <vertAlign val="subscript"/>
        <sz val="10"/>
        <color theme="1"/>
        <rFont val="Verdana"/>
        <family val="2"/>
      </rPr>
      <t>wet</t>
    </r>
    <r>
      <rPr>
        <sz val="10"/>
        <color theme="1"/>
        <rFont val="Verdana"/>
        <family val="2"/>
      </rPr>
      <t xml:space="preserve"> / K</t>
    </r>
    <r>
      <rPr>
        <vertAlign val="subscript"/>
        <sz val="10"/>
        <color theme="1"/>
        <rFont val="Verdana"/>
        <family val="2"/>
      </rPr>
      <t>soil-water</t>
    </r>
    <r>
      <rPr>
        <sz val="10"/>
        <color theme="1"/>
        <rFont val="Verdana"/>
        <family val="2"/>
      </rPr>
      <t xml:space="preserve"> </t>
    </r>
  </si>
  <si>
    <r>
      <rPr>
        <b/>
        <i/>
        <sz val="10"/>
        <color rgb="FF0070C0"/>
        <rFont val="Verdana"/>
        <family val="2"/>
      </rPr>
      <t>eq 29 ESD PT 18 stables</t>
    </r>
    <r>
      <rPr>
        <b/>
        <sz val="10"/>
        <rFont val="Verdana"/>
        <family val="2"/>
      </rPr>
      <t xml:space="preserve">
PEC</t>
    </r>
    <r>
      <rPr>
        <b/>
        <vertAlign val="subscript"/>
        <sz val="10"/>
        <rFont val="Verdana"/>
        <family val="2"/>
      </rPr>
      <t>sw_ar</t>
    </r>
    <r>
      <rPr>
        <vertAlign val="subscript"/>
        <sz val="10"/>
        <rFont val="Verdana"/>
        <family val="2"/>
      </rPr>
      <t xml:space="preserve"> </t>
    </r>
    <r>
      <rPr>
        <sz val="10"/>
        <rFont val="Verdana"/>
        <family val="2"/>
      </rPr>
      <t>= PECar-TWA_30d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</si>
  <si>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rPr>
        <b/>
        <i/>
        <sz val="10"/>
        <color rgb="FF0070C0"/>
        <rFont val="Verdana"/>
        <family val="2"/>
      </rPr>
      <t>eq 24 ESD PT 18 stables / Addendum to ESD PT 18 stables (TAB ENV 212)</t>
    </r>
    <r>
      <rPr>
        <b/>
        <sz val="10"/>
        <color theme="1"/>
        <rFont val="Verdana"/>
        <family val="2"/>
      </rPr>
      <t xml:space="preserve">
PIECgr_1-N</t>
    </r>
    <r>
      <rPr>
        <sz val="10"/>
        <color theme="1"/>
        <rFont val="Verdana"/>
        <family val="2"/>
      </rPr>
      <t xml:space="preserve"> = 100 * Qai-gr * Q</t>
    </r>
    <r>
      <rPr>
        <vertAlign val="subscript"/>
        <sz val="10"/>
        <color theme="1"/>
        <rFont val="Verdana"/>
        <family val="2"/>
      </rPr>
      <t>N,grassland</t>
    </r>
    <r>
      <rPr>
        <sz val="10"/>
        <color theme="1"/>
        <rFont val="Verdana"/>
        <family val="2"/>
      </rPr>
      <t xml:space="preserve"> / (Qnitrog-gr * Nlapp-gr * DEPTH</t>
    </r>
    <r>
      <rPr>
        <vertAlign val="subscript"/>
        <sz val="10"/>
        <color theme="1"/>
        <rFont val="Verdana"/>
        <family val="2"/>
      </rPr>
      <t>grassland</t>
    </r>
    <r>
      <rPr>
        <sz val="10"/>
        <color theme="1"/>
        <rFont val="Verdana"/>
        <family val="2"/>
      </rPr>
      <t xml:space="preserve"> *RHOsoil</t>
    </r>
    <r>
      <rPr>
        <vertAlign val="subscript"/>
        <sz val="10"/>
        <color theme="1"/>
        <rFont val="Verdana"/>
        <family val="2"/>
      </rPr>
      <t>wet</t>
    </r>
    <r>
      <rPr>
        <sz val="10"/>
        <color theme="1"/>
        <rFont val="Verdana"/>
        <family val="2"/>
      </rPr>
      <t>)</t>
    </r>
  </si>
  <si>
    <r>
      <rPr>
        <b/>
        <i/>
        <sz val="10"/>
        <color rgb="FF0070C0"/>
        <rFont val="Verdana"/>
        <family val="2"/>
      </rPr>
      <t>eq 24a Addendum to ESD PT 18 stables (TAB ENV 212)</t>
    </r>
    <r>
      <rPr>
        <b/>
        <sz val="10"/>
        <color theme="1"/>
        <rFont val="Verdana"/>
        <family val="2"/>
      </rPr>
      <t xml:space="preserve">
PIECgr_4-N</t>
    </r>
    <r>
      <rPr>
        <sz val="10"/>
        <color theme="1"/>
        <rFont val="Verdana"/>
        <family val="2"/>
      </rPr>
      <t xml:space="preserve"> = 100 * Qai-gr * Q</t>
    </r>
    <r>
      <rPr>
        <vertAlign val="subscript"/>
        <sz val="10"/>
        <color theme="1"/>
        <rFont val="Verdana"/>
        <family val="2"/>
      </rPr>
      <t>N,grassland</t>
    </r>
    <r>
      <rPr>
        <sz val="10"/>
        <color theme="1"/>
        <rFont val="Verdana"/>
        <family val="2"/>
      </rPr>
      <t xml:space="preserve"> / (Qnitrog-gr * DEPTH</t>
    </r>
    <r>
      <rPr>
        <vertAlign val="subscript"/>
        <sz val="10"/>
        <color theme="1"/>
        <rFont val="Verdana"/>
        <family val="2"/>
      </rPr>
      <t>grassland</t>
    </r>
    <r>
      <rPr>
        <sz val="10"/>
        <color theme="1"/>
        <rFont val="Verdana"/>
        <family val="2"/>
      </rPr>
      <t xml:space="preserve"> *RHOsoil</t>
    </r>
    <r>
      <rPr>
        <vertAlign val="subscript"/>
        <sz val="10"/>
        <color theme="1"/>
        <rFont val="Verdana"/>
        <family val="2"/>
      </rPr>
      <t>wet</t>
    </r>
    <r>
      <rPr>
        <sz val="10"/>
        <color theme="1"/>
        <rFont val="Verdana"/>
        <family val="2"/>
      </rPr>
      <t>)</t>
    </r>
  </si>
  <si>
    <r>
      <rPr>
        <b/>
        <i/>
        <sz val="10"/>
        <color rgb="FF0070C0"/>
        <rFont val="Verdana"/>
        <family val="2"/>
      </rPr>
      <t>eq 7a and 24b (combined) Addendum to ESD PT 18 stables (TAB ENV 212)</t>
    </r>
    <r>
      <rPr>
        <b/>
        <sz val="10"/>
        <rFont val="Verdana"/>
        <family val="2"/>
      </rPr>
      <t xml:space="preserve">
PIECgrs</t>
    </r>
    <r>
      <rPr>
        <b/>
        <vertAlign val="subscript"/>
        <sz val="10"/>
        <rFont val="Verdana"/>
        <family val="2"/>
      </rPr>
      <t>4_degr</t>
    </r>
    <r>
      <rPr>
        <b/>
        <sz val="10"/>
        <rFont val="Verdana"/>
        <family val="2"/>
      </rPr>
      <t>-N</t>
    </r>
    <r>
      <rPr>
        <sz val="10"/>
        <rFont val="Verdana"/>
        <family val="2"/>
      </rPr>
      <t xml:space="preserve"> = PIECgrs_1-N * { [1-(e</t>
    </r>
    <r>
      <rPr>
        <vertAlign val="superscript"/>
        <sz val="10"/>
        <rFont val="Verdana"/>
        <family val="2"/>
      </rPr>
      <t>-k * Tgr-int</t>
    </r>
    <r>
      <rPr>
        <sz val="10"/>
        <rFont val="Verdana"/>
        <family val="2"/>
      </rPr>
      <t>)</t>
    </r>
    <r>
      <rPr>
        <vertAlign val="superscript"/>
        <sz val="10"/>
        <rFont val="Verdana"/>
        <family val="2"/>
      </rPr>
      <t>Nlapp-grass</t>
    </r>
    <r>
      <rPr>
        <sz val="10"/>
        <rFont val="Verdana"/>
        <family val="2"/>
      </rPr>
      <t>] / [1-e</t>
    </r>
    <r>
      <rPr>
        <vertAlign val="superscript"/>
        <sz val="10"/>
        <rFont val="Verdana"/>
        <family val="2"/>
      </rPr>
      <t>-k * Tgr-int</t>
    </r>
    <r>
      <rPr>
        <sz val="10"/>
        <rFont val="Verdana"/>
        <family val="2"/>
      </rPr>
      <t xml:space="preserve"> ] }</t>
    </r>
  </si>
  <si>
    <r>
      <rPr>
        <b/>
        <i/>
        <sz val="10"/>
        <color rgb="FF0070C0"/>
        <rFont val="Verdana"/>
        <family val="2"/>
      </rPr>
      <t>eq 35 and 36 (combined) Addendum to ESD PT 18 stables (TAB ENV 212)</t>
    </r>
    <r>
      <rPr>
        <b/>
        <sz val="10"/>
        <color rgb="FF0070C0"/>
        <rFont val="Verdana"/>
        <family val="2"/>
      </rPr>
      <t xml:space="preserve">
</t>
    </r>
    <r>
      <rPr>
        <b/>
        <sz val="10"/>
        <rFont val="Verdana"/>
        <family val="2"/>
      </rPr>
      <t>PIECgr</t>
    </r>
    <r>
      <rPr>
        <b/>
        <vertAlign val="subscript"/>
        <sz val="10"/>
        <rFont val="Verdana"/>
        <family val="2"/>
      </rPr>
      <t>10_degr</t>
    </r>
    <r>
      <rPr>
        <b/>
        <sz val="10"/>
        <rFont val="Verdana"/>
        <family val="2"/>
      </rPr>
      <t>-N</t>
    </r>
    <r>
      <rPr>
        <sz val="10"/>
        <rFont val="Verdana"/>
        <family val="2"/>
      </rPr>
      <t xml:space="preserve"> = PIECgr</t>
    </r>
    <r>
      <rPr>
        <vertAlign val="subscript"/>
        <sz val="10"/>
        <rFont val="Verdana"/>
        <family val="2"/>
      </rPr>
      <t>4_degr</t>
    </r>
    <r>
      <rPr>
        <sz val="10"/>
        <rFont val="Verdana"/>
        <family val="2"/>
      </rPr>
      <t>-N * [1-(e</t>
    </r>
    <r>
      <rPr>
        <vertAlign val="superscript"/>
        <sz val="10"/>
        <rFont val="Verdana"/>
        <family val="2"/>
      </rPr>
      <t>-k*365</t>
    </r>
    <r>
      <rPr>
        <sz val="10"/>
        <rFont val="Verdana"/>
        <family val="2"/>
      </rPr>
      <t>)</t>
    </r>
    <r>
      <rPr>
        <vertAlign val="superscript"/>
        <sz val="10"/>
        <rFont val="Verdana"/>
        <family val="2"/>
      </rPr>
      <t>10</t>
    </r>
    <r>
      <rPr>
        <sz val="10"/>
        <rFont val="Verdana"/>
        <family val="2"/>
      </rPr>
      <t>] / [1-e</t>
    </r>
    <r>
      <rPr>
        <vertAlign val="superscript"/>
        <sz val="10"/>
        <rFont val="Verdana"/>
        <family val="2"/>
      </rPr>
      <t>-k*365</t>
    </r>
    <r>
      <rPr>
        <sz val="10"/>
        <rFont val="Verdana"/>
        <family val="2"/>
      </rPr>
      <t>]</t>
    </r>
  </si>
  <si>
    <r>
      <rPr>
        <b/>
        <i/>
        <sz val="10"/>
        <color rgb="FF0070C0"/>
        <rFont val="Verdana"/>
        <family val="2"/>
      </rPr>
      <t>eq 113 Guidance on BPR Vol IV Env Parts B+C v2.0 / eq 38 Addendum to ESD PT 18 stables (TAB ENV 212)</t>
    </r>
    <r>
      <rPr>
        <b/>
        <sz val="10"/>
        <rFont val="Verdana"/>
        <family val="2"/>
      </rPr>
      <t xml:space="preserve">
PECgr-TWA_30d </t>
    </r>
    <r>
      <rPr>
        <sz val="10"/>
        <rFont val="Verdana"/>
        <family val="2"/>
      </rPr>
      <t>= PIECgr10_degr-N * (1 - e</t>
    </r>
    <r>
      <rPr>
        <vertAlign val="superscript"/>
        <sz val="10"/>
        <rFont val="Verdana"/>
        <family val="2"/>
      </rPr>
      <t>-k * 30</t>
    </r>
    <r>
      <rPr>
        <sz val="10"/>
        <rFont val="Verdana"/>
        <family val="2"/>
      </rPr>
      <t>) / (k * 30)</t>
    </r>
  </si>
  <si>
    <r>
      <rPr>
        <b/>
        <i/>
        <sz val="10"/>
        <color rgb="FF0070C0"/>
        <rFont val="Verdana"/>
        <family val="2"/>
      </rPr>
      <t>eq 113 Guidance on BPR Vol IV Env Parts B+C v2.0 / eq 38 Addendum to ESD PT 18 stables (TAB ENV 212)</t>
    </r>
    <r>
      <rPr>
        <b/>
        <sz val="10"/>
        <rFont val="Verdana"/>
        <family val="2"/>
      </rPr>
      <t xml:space="preserve">
PECgr-TWA_180d </t>
    </r>
    <r>
      <rPr>
        <sz val="10"/>
        <rFont val="Verdana"/>
        <family val="2"/>
      </rPr>
      <t>= PIECgr10_degr-N * (1 - e</t>
    </r>
    <r>
      <rPr>
        <vertAlign val="superscript"/>
        <sz val="10"/>
        <rFont val="Verdana"/>
        <family val="2"/>
      </rPr>
      <t>-k * 180</t>
    </r>
    <r>
      <rPr>
        <sz val="10"/>
        <rFont val="Verdana"/>
        <family val="2"/>
      </rPr>
      <t>) / (k * 180)</t>
    </r>
  </si>
  <si>
    <r>
      <rPr>
        <b/>
        <i/>
        <sz val="10"/>
        <color rgb="FF0070C0"/>
        <rFont val="Verdana"/>
        <family val="2"/>
      </rPr>
      <t>eq 70 Guidance on BPR Vol IV Env Parts B+C v2.0 / eq 40 Addendum to ESD PT 18 stables (TAB ENV 212)</t>
    </r>
    <r>
      <rPr>
        <b/>
        <sz val="10"/>
        <color theme="1"/>
        <rFont val="Verdana"/>
        <family val="2"/>
      </rPr>
      <t xml:space="preserve">
PEClocal</t>
    </r>
    <r>
      <rPr>
        <b/>
        <vertAlign val="subscript"/>
        <sz val="10"/>
        <color theme="1"/>
        <rFont val="Verdana"/>
        <family val="2"/>
      </rPr>
      <t>soil,porew_gr</t>
    </r>
    <r>
      <rPr>
        <b/>
        <sz val="10"/>
        <color theme="1"/>
        <rFont val="Verdana"/>
        <family val="2"/>
      </rPr>
      <t xml:space="preserve"> </t>
    </r>
    <r>
      <rPr>
        <sz val="10"/>
        <color theme="1"/>
        <rFont val="Verdana"/>
        <family val="2"/>
      </rPr>
      <t>= PECgr-TWA_180d * RHOsoil</t>
    </r>
    <r>
      <rPr>
        <vertAlign val="subscript"/>
        <sz val="10"/>
        <color theme="1"/>
        <rFont val="Verdana"/>
        <family val="2"/>
      </rPr>
      <t>wet</t>
    </r>
    <r>
      <rPr>
        <sz val="10"/>
        <color theme="1"/>
        <rFont val="Verdana"/>
        <family val="2"/>
      </rPr>
      <t xml:space="preserve"> / K</t>
    </r>
    <r>
      <rPr>
        <vertAlign val="subscript"/>
        <sz val="10"/>
        <color theme="1"/>
        <rFont val="Verdana"/>
        <family val="2"/>
      </rPr>
      <t>soil-water</t>
    </r>
    <r>
      <rPr>
        <sz val="10"/>
        <color theme="1"/>
        <rFont val="Verdana"/>
        <family val="2"/>
      </rPr>
      <t xml:space="preserve"> </t>
    </r>
  </si>
  <si>
    <r>
      <rPr>
        <b/>
        <i/>
        <sz val="10"/>
        <color rgb="FF0070C0"/>
        <rFont val="Verdana"/>
        <family val="2"/>
      </rPr>
      <t xml:space="preserve">eq 29 ESD PT 18 stables </t>
    </r>
    <r>
      <rPr>
        <b/>
        <sz val="10"/>
        <rFont val="Verdana"/>
        <family val="2"/>
      </rPr>
      <t xml:space="preserve">
PEC</t>
    </r>
    <r>
      <rPr>
        <b/>
        <vertAlign val="subscript"/>
        <sz val="10"/>
        <rFont val="Verdana"/>
        <family val="2"/>
      </rPr>
      <t>sw_gr</t>
    </r>
    <r>
      <rPr>
        <vertAlign val="subscript"/>
        <sz val="10"/>
        <rFont val="Verdana"/>
        <family val="2"/>
      </rPr>
      <t xml:space="preserve"> </t>
    </r>
    <r>
      <rPr>
        <sz val="10"/>
        <rFont val="Verdana"/>
        <family val="2"/>
      </rPr>
      <t>= PECgr-TWA_30d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</si>
  <si>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t xml:space="preserve">Qai-gr_manure/slurry </t>
    </r>
    <r>
      <rPr>
        <sz val="10"/>
        <rFont val="Verdana"/>
        <family val="2"/>
      </rPr>
      <t>= Qai-manure/slurry * Napp-manure-gr</t>
    </r>
    <r>
      <rPr>
        <b/>
        <sz val="10"/>
        <rFont val="Verdana"/>
        <family val="2"/>
      </rPr>
      <t xml:space="preserve">
</t>
    </r>
    <r>
      <rPr>
        <sz val="10"/>
        <rFont val="Verdana"/>
        <family val="2"/>
      </rPr>
      <t>(not used in further calculations)</t>
    </r>
  </si>
  <si>
    <r>
      <t xml:space="preserve">Qai-gr_manure/slurry+wastewater </t>
    </r>
    <r>
      <rPr>
        <sz val="10"/>
        <rFont val="Verdana"/>
        <family val="2"/>
      </rPr>
      <t>= Qai-manure/slurry+wastewater * Napp-manure-gr</t>
    </r>
    <r>
      <rPr>
        <b/>
        <sz val="10"/>
        <rFont val="Verdana"/>
        <family val="2"/>
      </rPr>
      <t xml:space="preserve">
</t>
    </r>
    <r>
      <rPr>
        <sz val="10"/>
        <rFont val="Verdana"/>
        <family val="2"/>
      </rPr>
      <t>(used in further calculations)</t>
    </r>
  </si>
  <si>
    <r>
      <t>Qai-ar_manure/slurry</t>
    </r>
    <r>
      <rPr>
        <sz val="10"/>
        <rFont val="Verdana"/>
        <family val="2"/>
      </rPr>
      <t xml:space="preserve"> = Qai-manure/slurry * Napp-manure-ar
(not used in further calculations)</t>
    </r>
  </si>
  <si>
    <r>
      <t>Qai-ar_manure/slurry+wastewater</t>
    </r>
    <r>
      <rPr>
        <sz val="10"/>
        <rFont val="Verdana"/>
        <family val="2"/>
      </rPr>
      <t xml:space="preserve"> = Qai-manure/slurry+wastewater * Napp-manure-ar</t>
    </r>
    <r>
      <rPr>
        <b/>
        <sz val="10"/>
        <rFont val="Verdana"/>
        <family val="2"/>
      </rPr>
      <t xml:space="preserve">
</t>
    </r>
    <r>
      <rPr>
        <sz val="10"/>
        <rFont val="Verdana"/>
        <family val="2"/>
      </rPr>
      <t>(used in further calculations)</t>
    </r>
  </si>
  <si>
    <r>
      <rPr>
        <b/>
        <i/>
        <sz val="10"/>
        <color rgb="FF0070C0"/>
        <rFont val="Verdana"/>
        <family val="2"/>
      </rPr>
      <t xml:space="preserve">eq 29 ESD PT 18 stables </t>
    </r>
    <r>
      <rPr>
        <b/>
        <sz val="10"/>
        <rFont val="Verdana"/>
        <family val="2"/>
      </rPr>
      <t xml:space="preserve">
PEC</t>
    </r>
    <r>
      <rPr>
        <b/>
        <vertAlign val="subscript"/>
        <sz val="10"/>
        <rFont val="Verdana"/>
        <family val="2"/>
      </rPr>
      <t>sw_ar</t>
    </r>
    <r>
      <rPr>
        <vertAlign val="subscript"/>
        <sz val="10"/>
        <rFont val="Verdana"/>
        <family val="2"/>
      </rPr>
      <t xml:space="preserve"> </t>
    </r>
    <r>
      <rPr>
        <sz val="10"/>
        <rFont val="Verdana"/>
        <family val="2"/>
      </rPr>
      <t>= PECar-TWA_30d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</si>
  <si>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t>ESD PT 18 stables, Table 5.5</t>
  </si>
  <si>
    <r>
      <rPr>
        <b/>
        <i/>
        <sz val="10"/>
        <color rgb="FF0070C0"/>
        <rFont val="Verdana"/>
        <family val="2"/>
      </rPr>
      <t>eq 29 ESD PT 18 stables</t>
    </r>
    <r>
      <rPr>
        <b/>
        <sz val="10"/>
        <rFont val="Verdana"/>
        <family val="2"/>
      </rPr>
      <t xml:space="preserve">
PEC</t>
    </r>
    <r>
      <rPr>
        <b/>
        <vertAlign val="subscript"/>
        <sz val="10"/>
        <rFont val="Verdana"/>
        <family val="2"/>
      </rPr>
      <t>sw_gr</t>
    </r>
    <r>
      <rPr>
        <vertAlign val="subscript"/>
        <sz val="10"/>
        <rFont val="Verdana"/>
        <family val="2"/>
      </rPr>
      <t xml:space="preserve"> </t>
    </r>
    <r>
      <rPr>
        <sz val="10"/>
        <rFont val="Verdana"/>
        <family val="2"/>
      </rPr>
      <t>= PECgr-TWA_30d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</si>
  <si>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rPr>
        <b/>
        <i/>
        <sz val="10"/>
        <color rgb="FF0070C0"/>
        <rFont val="Verdana"/>
        <family val="2"/>
      </rPr>
      <t>eq 29 ESD PT 18 manure stables</t>
    </r>
    <r>
      <rPr>
        <b/>
        <sz val="10"/>
        <rFont val="Verdana"/>
        <family val="2"/>
      </rPr>
      <t xml:space="preserve">
PEC</t>
    </r>
    <r>
      <rPr>
        <b/>
        <vertAlign val="subscript"/>
        <sz val="10"/>
        <rFont val="Verdana"/>
        <family val="2"/>
      </rPr>
      <t>sw_ar</t>
    </r>
    <r>
      <rPr>
        <vertAlign val="subscript"/>
        <sz val="10"/>
        <rFont val="Verdana"/>
        <family val="2"/>
      </rPr>
      <t xml:space="preserve"> </t>
    </r>
    <r>
      <rPr>
        <sz val="10"/>
        <rFont val="Verdana"/>
        <family val="2"/>
      </rPr>
      <t>= PECar-TWA_30d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</si>
  <si>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t>- enter the application rate in g a.s./m</t>
    </r>
    <r>
      <rPr>
        <vertAlign val="superscript"/>
        <sz val="10"/>
        <rFont val="Verdana"/>
        <family val="2"/>
      </rPr>
      <t>2</t>
    </r>
    <r>
      <rPr>
        <sz val="10"/>
        <rFont val="Verdana"/>
        <family val="2"/>
      </rPr>
      <t xml:space="preserve"> (treatment surface) or g a.s./m</t>
    </r>
    <r>
      <rPr>
        <vertAlign val="superscript"/>
        <sz val="10"/>
        <rFont val="Verdana"/>
        <family val="2"/>
      </rPr>
      <t>3</t>
    </r>
    <r>
      <rPr>
        <sz val="10"/>
        <rFont val="Verdana"/>
        <family val="2"/>
      </rPr>
      <t xml:space="preserve"> (volume treatment) and select the respective units; if the application rate is provided as L/m</t>
    </r>
    <r>
      <rPr>
        <vertAlign val="superscript"/>
        <sz val="10"/>
        <rFont val="Verdana"/>
        <family val="2"/>
      </rPr>
      <t>2</t>
    </r>
    <r>
      <rPr>
        <sz val="10"/>
        <rFont val="Verdana"/>
        <family val="2"/>
      </rPr>
      <t xml:space="preserve"> or L/m</t>
    </r>
    <r>
      <rPr>
        <vertAlign val="superscript"/>
        <sz val="10"/>
        <rFont val="Verdana"/>
        <family val="2"/>
      </rPr>
      <t>3</t>
    </r>
    <r>
      <rPr>
        <sz val="10"/>
        <rFont val="Verdana"/>
        <family val="2"/>
      </rPr>
      <t xml:space="preserve"> calculate the corresponding value in g/m</t>
    </r>
    <r>
      <rPr>
        <vertAlign val="superscript"/>
        <sz val="10"/>
        <rFont val="Verdana"/>
        <family val="2"/>
      </rPr>
      <t>2</t>
    </r>
    <r>
      <rPr>
        <sz val="10"/>
        <rFont val="Verdana"/>
        <family val="2"/>
      </rPr>
      <t xml:space="preserve"> or g/m</t>
    </r>
    <r>
      <rPr>
        <vertAlign val="superscript"/>
        <sz val="10"/>
        <rFont val="Verdana"/>
        <family val="2"/>
      </rPr>
      <t>3</t>
    </r>
    <r>
      <rPr>
        <sz val="10"/>
        <rFont val="Verdana"/>
        <family val="2"/>
      </rPr>
      <t xml:space="preserve"> as described below and copy the result value here;</t>
    </r>
  </si>
  <si>
    <r>
      <rPr>
        <i/>
        <u/>
        <sz val="10"/>
        <rFont val="Verdana"/>
        <family val="2"/>
      </rPr>
      <t>Calculation of the application rate in g/m</t>
    </r>
    <r>
      <rPr>
        <i/>
        <u/>
        <vertAlign val="superscript"/>
        <sz val="10"/>
        <rFont val="Verdana"/>
        <family val="2"/>
      </rPr>
      <t>2</t>
    </r>
    <r>
      <rPr>
        <i/>
        <u/>
        <sz val="10"/>
        <rFont val="Verdana"/>
        <family val="2"/>
      </rPr>
      <t xml:space="preserve"> or g/m</t>
    </r>
    <r>
      <rPr>
        <i/>
        <u/>
        <vertAlign val="superscript"/>
        <sz val="10"/>
        <rFont val="Verdana"/>
        <family val="2"/>
      </rPr>
      <t>3</t>
    </r>
    <r>
      <rPr>
        <i/>
        <u/>
        <sz val="10"/>
        <rFont val="Verdana"/>
        <family val="2"/>
      </rPr>
      <t xml:space="preserve"> when the available application rate is given as L diluted b.p./m</t>
    </r>
    <r>
      <rPr>
        <i/>
        <u/>
        <vertAlign val="superscript"/>
        <sz val="10"/>
        <rFont val="Verdana"/>
        <family val="2"/>
      </rPr>
      <t>2</t>
    </r>
    <r>
      <rPr>
        <i/>
        <u/>
        <sz val="10"/>
        <rFont val="Verdana"/>
        <family val="2"/>
      </rPr>
      <t xml:space="preserve"> or L diluted b.p./m</t>
    </r>
    <r>
      <rPr>
        <i/>
        <u/>
        <vertAlign val="superscript"/>
        <sz val="10"/>
        <rFont val="Verdana"/>
        <family val="2"/>
      </rPr>
      <t>3</t>
    </r>
    <r>
      <rPr>
        <i/>
        <u/>
        <sz val="10"/>
        <rFont val="Verdana"/>
        <family val="2"/>
      </rPr>
      <t>:</t>
    </r>
    <r>
      <rPr>
        <i/>
        <sz val="10"/>
        <rFont val="Verdana"/>
        <family val="2"/>
      </rPr>
      <t xml:space="preserve">
- enter the value for the amount of diluted b.p. prescribed to be used per m</t>
    </r>
    <r>
      <rPr>
        <i/>
        <vertAlign val="superscript"/>
        <sz val="10"/>
        <rFont val="Verdana"/>
        <family val="2"/>
      </rPr>
      <t>2</t>
    </r>
    <r>
      <rPr>
        <i/>
        <sz val="10"/>
        <rFont val="Verdana"/>
        <family val="2"/>
      </rPr>
      <t xml:space="preserve"> or m</t>
    </r>
    <r>
      <rPr>
        <i/>
        <vertAlign val="superscript"/>
        <sz val="10"/>
        <rFont val="Verdana"/>
        <family val="2"/>
      </rPr>
      <t>3</t>
    </r>
    <r>
      <rPr>
        <i/>
        <sz val="10"/>
        <rFont val="Verdana"/>
        <family val="2"/>
      </rPr>
      <t>. If the b.p. is not diluted (i.e. is also used as working solution) enter the value of undiluted product prescribed to be used and enter below a dilution factor of 1;
- enter the dilution factor for preparation of the working solution from the b.p. . If the biocidal product is diluted 1/10 (= 1:10), the dilution factor is 0.1. If the biocidal product is also used as working solution, the dilution factor is 1;
- the purity value of the a.s. (the purity of a.s. is given in the SPC; if not known enter 100%);
- enter the value for the content of the a.s. in the b.p. and select the units: %(w/w) or g.l</t>
    </r>
    <r>
      <rPr>
        <i/>
        <vertAlign val="superscript"/>
        <sz val="10"/>
        <rFont val="Verdana"/>
        <family val="2"/>
      </rPr>
      <t>-1</t>
    </r>
    <r>
      <rPr>
        <i/>
        <sz val="10"/>
        <rFont val="Verdana"/>
        <family val="2"/>
      </rPr>
      <t>;
- the content of a.s. in the applied 
- if the content of a.s. in b.p. is set in %(w/w), insert the b.p. density value;
- the corrected content of a.s. in b.p. (Fbioc) is automatically calculated in g.l</t>
    </r>
    <r>
      <rPr>
        <i/>
        <vertAlign val="superscript"/>
        <sz val="10"/>
        <rFont val="Verdana"/>
        <family val="2"/>
      </rPr>
      <t>-1</t>
    </r>
    <r>
      <rPr>
        <i/>
        <sz val="10"/>
        <rFont val="Verdana"/>
        <family val="2"/>
      </rPr>
      <t>;
- the application rate is automatically calculated in g/m</t>
    </r>
    <r>
      <rPr>
        <i/>
        <vertAlign val="superscript"/>
        <sz val="10"/>
        <rFont val="Verdana"/>
        <family val="2"/>
      </rPr>
      <t>2</t>
    </r>
    <r>
      <rPr>
        <i/>
        <sz val="10"/>
        <rFont val="Verdana"/>
        <family val="2"/>
      </rPr>
      <t xml:space="preserve"> or g/m</t>
    </r>
    <r>
      <rPr>
        <i/>
        <vertAlign val="superscript"/>
        <sz val="10"/>
        <rFont val="Verdana"/>
        <family val="2"/>
      </rPr>
      <t>3</t>
    </r>
    <r>
      <rPr>
        <i/>
        <sz val="10"/>
        <rFont val="Verdana"/>
        <family val="2"/>
      </rPr>
      <t>;
- copy the output to the application rate cell (orange cell) above the "box".</t>
    </r>
  </si>
  <si>
    <r>
      <t>- enter for both grassland and arable land: the first order rate constants for volatilisation from soil and for leaching from top soil, and also DT50bio</t>
    </r>
    <r>
      <rPr>
        <vertAlign val="subscript"/>
        <sz val="10"/>
        <rFont val="Verdana"/>
        <family val="2"/>
      </rPr>
      <t xml:space="preserve">soil </t>
    </r>
    <r>
      <rPr>
        <sz val="10"/>
        <rFont val="Verdana"/>
        <family val="2"/>
      </rPr>
      <t>(at 12 C) (kdeg will be automatically calculated from the DT50 value); the overall removal rate constant in soil is automatically calculated for both grassland and arable land;</t>
    </r>
  </si>
  <si>
    <r>
      <rPr>
        <sz val="10"/>
        <rFont val="Verdana"/>
        <family val="2"/>
      </rPr>
      <t>Select units and enter application rate</t>
    </r>
    <r>
      <rPr>
        <sz val="10"/>
        <color rgb="FFFF0000"/>
        <rFont val="Verdana"/>
        <family val="2"/>
      </rPr>
      <t xml:space="preserve">
</t>
    </r>
    <r>
      <rPr>
        <b/>
        <sz val="10"/>
        <color rgb="FFFF0000"/>
        <rFont val="Verdana"/>
        <family val="2"/>
      </rPr>
      <t xml:space="preserve">If the application rate is provided as L/m2 or L/m3 calculate the corresponding value in g/m2 or g/m3 in the box below and copy the result value here </t>
    </r>
    <r>
      <rPr>
        <b/>
        <sz val="10"/>
        <color rgb="FFFF0000"/>
        <rFont val="Calibri"/>
        <family val="2"/>
      </rPr>
      <t>→</t>
    </r>
  </si>
  <si>
    <t xml:space="preserve">Calculation of the application rate in g/m2 or g/m3 when the available application rate is given as L diluted b.p./m2 or L diluted b.p./m3 </t>
  </si>
  <si>
    <t>TAB ENV 63, Nmp-animal = N *  Temission/365</t>
  </si>
  <si>
    <t>Daily local emission to air</t>
  </si>
  <si>
    <t>Daily local emission to wastewater</t>
  </si>
  <si>
    <t>Emission from one application to air</t>
  </si>
  <si>
    <t>Disinfection of eggs</t>
  </si>
  <si>
    <t>Select disinfection method</t>
  </si>
  <si>
    <t>Disinfection of eggs in hatcheries</t>
  </si>
  <si>
    <t>Disinfection of rooms and furniture in hatcheries</t>
  </si>
  <si>
    <t>Disinfection method</t>
  </si>
  <si>
    <t>Disinfection of rooms and furniture</t>
  </si>
  <si>
    <t>Active ingredient used for the disinfection of eggs</t>
  </si>
  <si>
    <t>Active ingredient used for the disinfection of rooms and furniture</t>
  </si>
  <si>
    <t>Select a.s.</t>
  </si>
  <si>
    <t>Fraction released to wastewater after fumigation</t>
  </si>
  <si>
    <t>Fraction released to wastewater after aerosol or fogging treatment</t>
  </si>
  <si>
    <t>Local emission to water (on the day of hatching)</t>
  </si>
  <si>
    <t>Local emission to air (on the day of hatching)</t>
  </si>
  <si>
    <t>Local emission to water from the disinfection of eggs (stage 1 + stage 2)</t>
  </si>
  <si>
    <t>Local emission to water from the disinfection of rooms and furniture (stage 3)</t>
  </si>
  <si>
    <t>Local emission to air from the disinfection of eggs (stage 1 + stage 2)</t>
  </si>
  <si>
    <t>Local emission to air from the disinfection of rooms and furniture (stage 3)</t>
  </si>
  <si>
    <t>Fraction released to air after spraying treatment</t>
  </si>
  <si>
    <t>Fraction released to wastewater after spraying treatment</t>
  </si>
  <si>
    <t>1. In the "Input" table select the disinfection method and a.s. used for the disinfection of eggs; also select the disinfection method and a.s. used for the disinfection of rooms and furniture.</t>
  </si>
  <si>
    <t>4. The tables "Intermediate calculations" and "Output" will be automatically populated with the calculated values.</t>
  </si>
  <si>
    <t>- If the content of a.s. in b.p. is set in %(w/w), insert the b.p. density value; otherwise leave the field empty.</t>
  </si>
  <si>
    <t>- Enter the value for the amount of diluted b.p. prescribed to be used for one treatment (dipping of the four teats) of one animal. If the b.p. is not diluted (i.e. is also used as working solution) enter the value of undiluted product prescribed to be used and enter a dilution factor of 1 in the follwoing input cell.</t>
  </si>
  <si>
    <t>- Enter the dilution factor for preparation of the working solution from the b.p. . If the biocidal product is diluted 1/10 (= 1:10), the dilution factor is 0.1. If the biocidal product is also used as working solution, the dilution factor is 1.</t>
  </si>
  <si>
    <t>- Enter the number of teat dipping events for one animal and one day (dipping of the four teats of one animal = one disinfectant application), by selecting a default value from the dropdown list. In order to enter a customised value select the option "Define value (enter value in the orange cell)" from the dropdown list and enter the value in the orange cell (otherwise leave the orange cell empty).</t>
  </si>
  <si>
    <t>- Napp-bioc and Tbioc-int are automatically calculated.</t>
  </si>
  <si>
    <t>- Enter values for the parameters Ksoil-water, Kp,susp and Ksusp-water.</t>
  </si>
  <si>
    <r>
      <t>- Enter for both grassland and arable land: the first order rate constants for volatilisation from soil and for leaching from top soil, and also DT50bio</t>
    </r>
    <r>
      <rPr>
        <vertAlign val="subscript"/>
        <sz val="10"/>
        <rFont val="Verdana"/>
        <family val="2"/>
      </rPr>
      <t xml:space="preserve">soil </t>
    </r>
    <r>
      <rPr>
        <sz val="10"/>
        <rFont val="Verdana"/>
        <family val="2"/>
      </rPr>
      <t>(at 12 C) (kdeg will be automatically calculated from the DT50 value); the overall removal rate constant in soil is automatically calculated for both grassland and arable land.</t>
    </r>
  </si>
  <si>
    <t>- Enter the purity of the active substance (the purity of a.s. is given in the SPC; if not known enter 100%).</t>
  </si>
  <si>
    <r>
      <t>- Enter the content of the a.s. in the b.p. and select the units: %(w/w) or g.l</t>
    </r>
    <r>
      <rPr>
        <vertAlign val="superscript"/>
        <sz val="10"/>
        <rFont val="Verdana"/>
        <family val="2"/>
      </rPr>
      <t>-1</t>
    </r>
    <r>
      <rPr>
        <sz val="10"/>
        <rFont val="Verdana"/>
        <family val="2"/>
      </rPr>
      <t>.</t>
    </r>
  </si>
  <si>
    <r>
      <t>- Enter the corrected content of a.s. in b.p. (Fbioc) is automatically calculated in g.l</t>
    </r>
    <r>
      <rPr>
        <vertAlign val="superscript"/>
        <sz val="10"/>
        <rFont val="Verdana"/>
        <family val="2"/>
      </rPr>
      <t>-1</t>
    </r>
    <r>
      <rPr>
        <sz val="10"/>
        <rFont val="Verdana"/>
        <family val="2"/>
      </rPr>
      <t>.</t>
    </r>
  </si>
  <si>
    <r>
      <rPr>
        <b/>
        <i/>
        <sz val="10"/>
        <color rgb="FF0070C0"/>
        <rFont val="Verdana"/>
        <family val="2"/>
      </rPr>
      <t>Addendum to ESD PT 18 stables (TAB ENV 212)</t>
    </r>
    <r>
      <rPr>
        <b/>
        <sz val="10"/>
        <rFont val="Verdana"/>
        <family val="2"/>
      </rPr>
      <t xml:space="preserve">
Qnitrog-ar</t>
    </r>
    <r>
      <rPr>
        <sz val="10"/>
        <rFont val="Verdana"/>
        <family val="2"/>
      </rPr>
      <t xml:space="preserve"> = N * Qnitrog * Tbioc-int</t>
    </r>
  </si>
  <si>
    <r>
      <rPr>
        <b/>
        <i/>
        <sz val="10"/>
        <color rgb="FF0070C0"/>
        <rFont val="Verdana"/>
        <family val="2"/>
      </rPr>
      <t>Addendum to ESD PT 18 stables (TAB ENV 212)</t>
    </r>
    <r>
      <rPr>
        <sz val="10"/>
        <rFont val="Verdana"/>
        <family val="2"/>
      </rPr>
      <t xml:space="preserve">
Napp-manure-ar=1</t>
    </r>
  </si>
  <si>
    <r>
      <rPr>
        <b/>
        <i/>
        <sz val="10"/>
        <color rgb="FF0070C0"/>
        <rFont val="Verdana"/>
        <family val="2"/>
      </rPr>
      <t>Addendum to ESD PT 18 stables (TAB ENV 212)</t>
    </r>
    <r>
      <rPr>
        <sz val="10"/>
        <rFont val="Verdana"/>
        <family val="2"/>
      </rPr>
      <t xml:space="preserve">
1. Napp-manure-gr = Tgr-int/Tbioc-int
2. If Nlapp-gr x Napp-manure-gr &gt; Napp-bioc, then Napp-manure-gr = Napp-bioc/Nlapp-gr</t>
    </r>
  </si>
  <si>
    <t>ESD PT 3, p.39</t>
  </si>
  <si>
    <t xml:space="preserve">ESD PT 3, ESD PT 18 stables, TAB ENV 168 &amp; TAB ENV 233 </t>
  </si>
  <si>
    <t>Fraction of active ingredient released to the relevant streams for animal categories (for animal housings)</t>
  </si>
  <si>
    <r>
      <rPr>
        <b/>
        <sz val="10"/>
        <color theme="1"/>
        <rFont val="Verdana"/>
        <family val="2"/>
      </rPr>
      <t>Qai-manure/slurry</t>
    </r>
    <r>
      <rPr>
        <sz val="10"/>
        <color theme="1"/>
        <rFont val="Verdana"/>
        <family val="2"/>
      </rPr>
      <t xml:space="preserve"> = Fmanure/slurry * Qai-prescr * Ntub-filling</t>
    </r>
  </si>
  <si>
    <r>
      <rPr>
        <b/>
        <sz val="10"/>
        <rFont val="Verdana"/>
        <family val="2"/>
      </rPr>
      <t>Qai-air</t>
    </r>
    <r>
      <rPr>
        <sz val="10"/>
        <rFont val="Verdana"/>
        <family val="2"/>
      </rPr>
      <t xml:space="preserve"> = Fair * Qai-prescr * Ntub-filling</t>
    </r>
  </si>
  <si>
    <t>Enter value 1.2 for formaldehyde and 7 for paraformaldehyde. In case of other active ingredients enter 7 if product specific information is not known (ESD PT 3, Table 6b)</t>
  </si>
  <si>
    <r>
      <t>2. Enter the values for Qai</t>
    </r>
    <r>
      <rPr>
        <vertAlign val="subscript"/>
        <sz val="10"/>
        <rFont val="Verdana"/>
        <family val="2"/>
      </rPr>
      <t>appl</t>
    </r>
    <r>
      <rPr>
        <sz val="10"/>
        <rFont val="Verdana"/>
        <family val="2"/>
      </rPr>
      <t xml:space="preserve"> (quantity of disinfectant used per cubic meter) according to the ESD: 1.2 for formaldehyde and 7 for paraformaldehyde. In case of other active ingredients enter 7 if product specific information is not known (ESD PT 3, Table 6b)</t>
    </r>
  </si>
  <si>
    <r>
      <t>3. If rooms and equipment are disinfected by spraying, enter the a.s. vapour pressure. The value for F</t>
    </r>
    <r>
      <rPr>
        <vertAlign val="subscript"/>
        <sz val="10"/>
        <rFont val="Verdana"/>
        <family val="2"/>
      </rPr>
      <t>water_spray</t>
    </r>
    <r>
      <rPr>
        <sz val="10"/>
        <rFont val="Verdana"/>
        <family val="2"/>
      </rPr>
      <t xml:space="preserve"> will be automatically calculated.</t>
    </r>
  </si>
  <si>
    <r>
      <t>F</t>
    </r>
    <r>
      <rPr>
        <vertAlign val="subscript"/>
        <sz val="10"/>
        <rFont val="Verdana"/>
        <family val="2"/>
      </rPr>
      <t>air_spray</t>
    </r>
  </si>
  <si>
    <r>
      <t>F</t>
    </r>
    <r>
      <rPr>
        <vertAlign val="subscript"/>
        <sz val="10"/>
        <rFont val="Verdana"/>
        <family val="2"/>
      </rPr>
      <t>water_spray</t>
    </r>
  </si>
  <si>
    <r>
      <t>F</t>
    </r>
    <r>
      <rPr>
        <vertAlign val="subscript"/>
        <sz val="10"/>
        <rFont val="Verdana"/>
        <family val="2"/>
      </rPr>
      <t>water_spray</t>
    </r>
    <r>
      <rPr>
        <sz val="10"/>
        <rFont val="Verdana"/>
        <family val="2"/>
      </rPr>
      <t xml:space="preserve"> = 1 - F</t>
    </r>
    <r>
      <rPr>
        <vertAlign val="subscript"/>
        <sz val="10"/>
        <rFont val="Verdana"/>
        <family val="2"/>
      </rPr>
      <t>air_spray</t>
    </r>
  </si>
  <si>
    <r>
      <t>Elocal</t>
    </r>
    <r>
      <rPr>
        <vertAlign val="subscript"/>
        <sz val="10"/>
        <rFont val="Verdana"/>
        <family val="2"/>
      </rPr>
      <t>water_eggs</t>
    </r>
  </si>
  <si>
    <r>
      <rPr>
        <b/>
        <sz val="10"/>
        <rFont val="Verdana"/>
        <family val="2"/>
      </rPr>
      <t>Elocal</t>
    </r>
    <r>
      <rPr>
        <b/>
        <vertAlign val="subscript"/>
        <sz val="10"/>
        <rFont val="Verdana"/>
        <family val="2"/>
      </rPr>
      <t>water_eggs</t>
    </r>
    <r>
      <rPr>
        <sz val="10"/>
        <rFont val="Verdana"/>
        <family val="2"/>
      </rPr>
      <t xml:space="preserve"> = Qai</t>
    </r>
    <r>
      <rPr>
        <vertAlign val="subscript"/>
        <sz val="10"/>
        <rFont val="Verdana"/>
        <family val="2"/>
      </rPr>
      <t>appl</t>
    </r>
    <r>
      <rPr>
        <sz val="10"/>
        <rFont val="Verdana"/>
        <family val="2"/>
      </rPr>
      <t xml:space="preserve"> * 0.001 * F</t>
    </r>
    <r>
      <rPr>
        <vertAlign val="subscript"/>
        <sz val="10"/>
        <rFont val="Verdana"/>
        <family val="2"/>
      </rPr>
      <t>water</t>
    </r>
    <r>
      <rPr>
        <sz val="10"/>
        <rFont val="Verdana"/>
        <family val="2"/>
      </rPr>
      <t xml:space="preserve"> * (V</t>
    </r>
    <r>
      <rPr>
        <vertAlign val="subscript"/>
        <sz val="10"/>
        <rFont val="Verdana"/>
        <family val="2"/>
      </rPr>
      <t>sluice</t>
    </r>
    <r>
      <rPr>
        <sz val="10"/>
        <rFont val="Verdana"/>
        <family val="2"/>
      </rPr>
      <t xml:space="preserve"> * N</t>
    </r>
    <r>
      <rPr>
        <vertAlign val="subscript"/>
        <sz val="10"/>
        <rFont val="Verdana"/>
        <family val="2"/>
      </rPr>
      <t>sluice</t>
    </r>
    <r>
      <rPr>
        <sz val="10"/>
        <rFont val="Verdana"/>
        <family val="2"/>
      </rPr>
      <t xml:space="preserve"> * Nappl</t>
    </r>
    <r>
      <rPr>
        <vertAlign val="subscript"/>
        <sz val="10"/>
        <rFont val="Verdana"/>
        <family val="2"/>
      </rPr>
      <t>sluice</t>
    </r>
    <r>
      <rPr>
        <sz val="10"/>
        <rFont val="Verdana"/>
        <family val="2"/>
      </rPr>
      <t xml:space="preserve"> + V</t>
    </r>
    <r>
      <rPr>
        <vertAlign val="subscript"/>
        <sz val="10"/>
        <rFont val="Verdana"/>
        <family val="2"/>
      </rPr>
      <t>hatcher</t>
    </r>
    <r>
      <rPr>
        <sz val="10"/>
        <rFont val="Verdana"/>
        <family val="2"/>
      </rPr>
      <t xml:space="preserve"> * N</t>
    </r>
    <r>
      <rPr>
        <vertAlign val="subscript"/>
        <sz val="10"/>
        <rFont val="Verdana"/>
        <family val="2"/>
      </rPr>
      <t>hatcher</t>
    </r>
    <r>
      <rPr>
        <sz val="10"/>
        <rFont val="Verdana"/>
        <family val="2"/>
      </rPr>
      <t xml:space="preserve"> * Nappl</t>
    </r>
    <r>
      <rPr>
        <vertAlign val="subscript"/>
        <sz val="10"/>
        <rFont val="Verdana"/>
        <family val="2"/>
      </rPr>
      <t>hatcher</t>
    </r>
    <r>
      <rPr>
        <sz val="10"/>
        <rFont val="Verdana"/>
        <family val="2"/>
      </rPr>
      <t>) 
where F</t>
    </r>
    <r>
      <rPr>
        <vertAlign val="subscript"/>
        <sz val="10"/>
        <rFont val="Verdana"/>
        <family val="2"/>
      </rPr>
      <t>water</t>
    </r>
    <r>
      <rPr>
        <sz val="10"/>
        <rFont val="Verdana"/>
        <family val="2"/>
      </rPr>
      <t xml:space="preserve"> is F</t>
    </r>
    <r>
      <rPr>
        <vertAlign val="subscript"/>
        <sz val="10"/>
        <rFont val="Verdana"/>
        <family val="2"/>
      </rPr>
      <t>water_fum</t>
    </r>
    <r>
      <rPr>
        <sz val="10"/>
        <rFont val="Verdana"/>
        <family val="2"/>
      </rPr>
      <t xml:space="preserve"> or F</t>
    </r>
    <r>
      <rPr>
        <vertAlign val="subscript"/>
        <sz val="10"/>
        <rFont val="Verdana"/>
        <family val="2"/>
      </rPr>
      <t>water_fog</t>
    </r>
    <r>
      <rPr>
        <sz val="10"/>
        <rFont val="Verdana"/>
        <family val="2"/>
      </rPr>
      <t xml:space="preserve"> according to the method selected for disinfection of eggs</t>
    </r>
  </si>
  <si>
    <r>
      <t>Elocal</t>
    </r>
    <r>
      <rPr>
        <vertAlign val="subscript"/>
        <sz val="10"/>
        <rFont val="Verdana"/>
        <family val="2"/>
      </rPr>
      <t>water_rooms</t>
    </r>
  </si>
  <si>
    <r>
      <rPr>
        <b/>
        <sz val="10"/>
        <rFont val="Verdana"/>
        <family val="2"/>
      </rPr>
      <t>Elocal</t>
    </r>
    <r>
      <rPr>
        <b/>
        <vertAlign val="subscript"/>
        <sz val="10"/>
        <rFont val="Verdana"/>
        <family val="2"/>
      </rPr>
      <t>water_rooms</t>
    </r>
    <r>
      <rPr>
        <sz val="10"/>
        <rFont val="Verdana"/>
        <family val="2"/>
      </rPr>
      <t xml:space="preserve"> = Qai</t>
    </r>
    <r>
      <rPr>
        <vertAlign val="subscript"/>
        <sz val="10"/>
        <rFont val="Verdana"/>
        <family val="2"/>
      </rPr>
      <t>appl</t>
    </r>
    <r>
      <rPr>
        <sz val="10"/>
        <rFont val="Verdana"/>
        <family val="2"/>
      </rPr>
      <t xml:space="preserve"> * 0.001 * F</t>
    </r>
    <r>
      <rPr>
        <vertAlign val="subscript"/>
        <sz val="10"/>
        <rFont val="Verdana"/>
        <family val="2"/>
      </rPr>
      <t>water</t>
    </r>
    <r>
      <rPr>
        <sz val="10"/>
        <rFont val="Verdana"/>
        <family val="2"/>
      </rPr>
      <t xml:space="preserve"> * (V</t>
    </r>
    <r>
      <rPr>
        <vertAlign val="subscript"/>
        <sz val="10"/>
        <rFont val="Verdana"/>
        <family val="2"/>
      </rPr>
      <t>setter</t>
    </r>
    <r>
      <rPr>
        <sz val="10"/>
        <rFont val="Verdana"/>
        <family val="2"/>
      </rPr>
      <t xml:space="preserve"> * N</t>
    </r>
    <r>
      <rPr>
        <vertAlign val="subscript"/>
        <sz val="10"/>
        <rFont val="Verdana"/>
        <family val="2"/>
      </rPr>
      <t>setter</t>
    </r>
    <r>
      <rPr>
        <sz val="10"/>
        <rFont val="Verdana"/>
        <family val="2"/>
      </rPr>
      <t xml:space="preserve"> * Nappl</t>
    </r>
    <r>
      <rPr>
        <vertAlign val="subscript"/>
        <sz val="10"/>
        <rFont val="Verdana"/>
        <family val="2"/>
      </rPr>
      <t xml:space="preserve">setter </t>
    </r>
    <r>
      <rPr>
        <sz val="10"/>
        <rFont val="Verdana"/>
        <family val="2"/>
      </rPr>
      <t>+ V</t>
    </r>
    <r>
      <rPr>
        <vertAlign val="subscript"/>
        <sz val="10"/>
        <rFont val="Verdana"/>
        <family val="2"/>
      </rPr>
      <t xml:space="preserve">hatcher </t>
    </r>
    <r>
      <rPr>
        <sz val="10"/>
        <rFont val="Verdana"/>
        <family val="2"/>
      </rPr>
      <t>* N</t>
    </r>
    <r>
      <rPr>
        <vertAlign val="subscript"/>
        <sz val="10"/>
        <rFont val="Verdana"/>
        <family val="2"/>
      </rPr>
      <t xml:space="preserve">hatcher </t>
    </r>
    <r>
      <rPr>
        <sz val="10"/>
        <rFont val="Verdana"/>
        <family val="2"/>
      </rPr>
      <t>* Nappl</t>
    </r>
    <r>
      <rPr>
        <vertAlign val="subscript"/>
        <sz val="10"/>
        <rFont val="Verdana"/>
        <family val="2"/>
      </rPr>
      <t>hatcher</t>
    </r>
    <r>
      <rPr>
        <sz val="10"/>
        <rFont val="Verdana"/>
        <family val="2"/>
      </rPr>
      <t>)
where F</t>
    </r>
    <r>
      <rPr>
        <vertAlign val="subscript"/>
        <sz val="10"/>
        <rFont val="Verdana"/>
        <family val="2"/>
      </rPr>
      <t>water</t>
    </r>
    <r>
      <rPr>
        <sz val="10"/>
        <rFont val="Verdana"/>
        <family val="2"/>
      </rPr>
      <t xml:space="preserve"> is F</t>
    </r>
    <r>
      <rPr>
        <vertAlign val="subscript"/>
        <sz val="10"/>
        <rFont val="Verdana"/>
        <family val="2"/>
      </rPr>
      <t>water_spray</t>
    </r>
    <r>
      <rPr>
        <sz val="10"/>
        <rFont val="Verdana"/>
        <family val="2"/>
      </rPr>
      <t xml:space="preserve"> or F</t>
    </r>
    <r>
      <rPr>
        <vertAlign val="subscript"/>
        <sz val="10"/>
        <rFont val="Verdana"/>
        <family val="2"/>
      </rPr>
      <t>water_fog</t>
    </r>
    <r>
      <rPr>
        <sz val="10"/>
        <rFont val="Verdana"/>
        <family val="2"/>
      </rPr>
      <t xml:space="preserve"> according to the method selected for disinfection of rooms</t>
    </r>
  </si>
  <si>
    <r>
      <t>Elocal</t>
    </r>
    <r>
      <rPr>
        <vertAlign val="subscript"/>
        <sz val="10"/>
        <rFont val="Verdana"/>
        <family val="2"/>
      </rPr>
      <t>air_eggs</t>
    </r>
  </si>
  <si>
    <r>
      <rPr>
        <b/>
        <sz val="10"/>
        <rFont val="Verdana"/>
        <family val="2"/>
      </rPr>
      <t>Elocal</t>
    </r>
    <r>
      <rPr>
        <b/>
        <vertAlign val="subscript"/>
        <sz val="10"/>
        <rFont val="Verdana"/>
        <family val="2"/>
      </rPr>
      <t>air_eggs</t>
    </r>
    <r>
      <rPr>
        <sz val="10"/>
        <rFont val="Verdana"/>
        <family val="2"/>
      </rPr>
      <t xml:space="preserve"> = Qai</t>
    </r>
    <r>
      <rPr>
        <vertAlign val="subscript"/>
        <sz val="10"/>
        <rFont val="Verdana"/>
        <family val="2"/>
      </rPr>
      <t>appl</t>
    </r>
    <r>
      <rPr>
        <sz val="10"/>
        <rFont val="Verdana"/>
        <family val="2"/>
      </rPr>
      <t xml:space="preserve"> * 0.001 * F</t>
    </r>
    <r>
      <rPr>
        <vertAlign val="subscript"/>
        <sz val="10"/>
        <rFont val="Verdana"/>
        <family val="2"/>
      </rPr>
      <t>air</t>
    </r>
    <r>
      <rPr>
        <sz val="10"/>
        <rFont val="Verdana"/>
        <family val="2"/>
      </rPr>
      <t xml:space="preserve"> * (V</t>
    </r>
    <r>
      <rPr>
        <vertAlign val="subscript"/>
        <sz val="10"/>
        <rFont val="Verdana"/>
        <family val="2"/>
      </rPr>
      <t>sluice</t>
    </r>
    <r>
      <rPr>
        <sz val="10"/>
        <rFont val="Verdana"/>
        <family val="2"/>
      </rPr>
      <t xml:space="preserve"> * N</t>
    </r>
    <r>
      <rPr>
        <vertAlign val="subscript"/>
        <sz val="10"/>
        <rFont val="Verdana"/>
        <family val="2"/>
      </rPr>
      <t>sluice</t>
    </r>
    <r>
      <rPr>
        <sz val="10"/>
        <rFont val="Verdana"/>
        <family val="2"/>
      </rPr>
      <t xml:space="preserve"> * Nappl</t>
    </r>
    <r>
      <rPr>
        <vertAlign val="subscript"/>
        <sz val="10"/>
        <rFont val="Verdana"/>
        <family val="2"/>
      </rPr>
      <t>sluice</t>
    </r>
    <r>
      <rPr>
        <sz val="10"/>
        <rFont val="Verdana"/>
        <family val="2"/>
      </rPr>
      <t xml:space="preserve"> + V</t>
    </r>
    <r>
      <rPr>
        <vertAlign val="subscript"/>
        <sz val="10"/>
        <rFont val="Verdana"/>
        <family val="2"/>
      </rPr>
      <t>hatcher</t>
    </r>
    <r>
      <rPr>
        <sz val="10"/>
        <rFont val="Verdana"/>
        <family val="2"/>
      </rPr>
      <t xml:space="preserve"> * N</t>
    </r>
    <r>
      <rPr>
        <vertAlign val="subscript"/>
        <sz val="10"/>
        <rFont val="Verdana"/>
        <family val="2"/>
      </rPr>
      <t>hatcher</t>
    </r>
    <r>
      <rPr>
        <sz val="10"/>
        <rFont val="Verdana"/>
        <family val="2"/>
      </rPr>
      <t xml:space="preserve"> * Nappl</t>
    </r>
    <r>
      <rPr>
        <vertAlign val="subscript"/>
        <sz val="10"/>
        <rFont val="Verdana"/>
        <family val="2"/>
      </rPr>
      <t>hatcher</t>
    </r>
    <r>
      <rPr>
        <sz val="10"/>
        <rFont val="Verdana"/>
        <family val="2"/>
      </rPr>
      <t>) 
where F</t>
    </r>
    <r>
      <rPr>
        <vertAlign val="subscript"/>
        <sz val="10"/>
        <rFont val="Verdana"/>
        <family val="2"/>
      </rPr>
      <t>air</t>
    </r>
    <r>
      <rPr>
        <sz val="10"/>
        <rFont val="Verdana"/>
        <family val="2"/>
      </rPr>
      <t xml:space="preserve"> is F</t>
    </r>
    <r>
      <rPr>
        <vertAlign val="subscript"/>
        <sz val="10"/>
        <rFont val="Verdana"/>
        <family val="2"/>
      </rPr>
      <t>air_fum</t>
    </r>
    <r>
      <rPr>
        <sz val="10"/>
        <rFont val="Verdana"/>
        <family val="2"/>
      </rPr>
      <t xml:space="preserve"> or F</t>
    </r>
    <r>
      <rPr>
        <vertAlign val="subscript"/>
        <sz val="10"/>
        <rFont val="Verdana"/>
        <family val="2"/>
      </rPr>
      <t>air_fog</t>
    </r>
    <r>
      <rPr>
        <sz val="10"/>
        <rFont val="Verdana"/>
        <family val="2"/>
      </rPr>
      <t xml:space="preserve"> according to the method selected for disinfection of eggs</t>
    </r>
  </si>
  <si>
    <r>
      <t>Elocal</t>
    </r>
    <r>
      <rPr>
        <vertAlign val="subscript"/>
        <sz val="10"/>
        <rFont val="Verdana"/>
        <family val="2"/>
      </rPr>
      <t>air_rooms</t>
    </r>
  </si>
  <si>
    <r>
      <rPr>
        <b/>
        <sz val="10"/>
        <rFont val="Verdana"/>
        <family val="2"/>
      </rPr>
      <t>Elocal</t>
    </r>
    <r>
      <rPr>
        <b/>
        <vertAlign val="subscript"/>
        <sz val="10"/>
        <rFont val="Verdana"/>
        <family val="2"/>
      </rPr>
      <t>air_rooms</t>
    </r>
    <r>
      <rPr>
        <sz val="10"/>
        <rFont val="Verdana"/>
        <family val="2"/>
      </rPr>
      <t xml:space="preserve"> = Qai</t>
    </r>
    <r>
      <rPr>
        <vertAlign val="subscript"/>
        <sz val="10"/>
        <rFont val="Verdana"/>
        <family val="2"/>
      </rPr>
      <t>appl</t>
    </r>
    <r>
      <rPr>
        <sz val="10"/>
        <rFont val="Verdana"/>
        <family val="2"/>
      </rPr>
      <t xml:space="preserve"> * 0.001 * F</t>
    </r>
    <r>
      <rPr>
        <vertAlign val="subscript"/>
        <sz val="10"/>
        <rFont val="Verdana"/>
        <family val="2"/>
      </rPr>
      <t>air</t>
    </r>
    <r>
      <rPr>
        <sz val="10"/>
        <rFont val="Verdana"/>
        <family val="2"/>
      </rPr>
      <t xml:space="preserve"> * (V</t>
    </r>
    <r>
      <rPr>
        <vertAlign val="subscript"/>
        <sz val="10"/>
        <rFont val="Verdana"/>
        <family val="2"/>
      </rPr>
      <t>setter</t>
    </r>
    <r>
      <rPr>
        <sz val="10"/>
        <rFont val="Verdana"/>
        <family val="2"/>
      </rPr>
      <t xml:space="preserve"> * N</t>
    </r>
    <r>
      <rPr>
        <vertAlign val="subscript"/>
        <sz val="10"/>
        <rFont val="Verdana"/>
        <family val="2"/>
      </rPr>
      <t>setter</t>
    </r>
    <r>
      <rPr>
        <sz val="10"/>
        <rFont val="Verdana"/>
        <family val="2"/>
      </rPr>
      <t xml:space="preserve"> * Nappl</t>
    </r>
    <r>
      <rPr>
        <vertAlign val="subscript"/>
        <sz val="10"/>
        <rFont val="Verdana"/>
        <family val="2"/>
      </rPr>
      <t xml:space="preserve">setter </t>
    </r>
    <r>
      <rPr>
        <sz val="10"/>
        <rFont val="Verdana"/>
        <family val="2"/>
      </rPr>
      <t>+ V</t>
    </r>
    <r>
      <rPr>
        <vertAlign val="subscript"/>
        <sz val="10"/>
        <rFont val="Verdana"/>
        <family val="2"/>
      </rPr>
      <t xml:space="preserve">hatcher </t>
    </r>
    <r>
      <rPr>
        <sz val="10"/>
        <rFont val="Verdana"/>
        <family val="2"/>
      </rPr>
      <t>* N</t>
    </r>
    <r>
      <rPr>
        <vertAlign val="subscript"/>
        <sz val="10"/>
        <rFont val="Verdana"/>
        <family val="2"/>
      </rPr>
      <t xml:space="preserve">hatcher </t>
    </r>
    <r>
      <rPr>
        <sz val="10"/>
        <rFont val="Verdana"/>
        <family val="2"/>
      </rPr>
      <t>* Nappl</t>
    </r>
    <r>
      <rPr>
        <vertAlign val="subscript"/>
        <sz val="10"/>
        <rFont val="Verdana"/>
        <family val="2"/>
      </rPr>
      <t>hatcher</t>
    </r>
    <r>
      <rPr>
        <sz val="10"/>
        <rFont val="Verdana"/>
        <family val="2"/>
      </rPr>
      <t>)
where F</t>
    </r>
    <r>
      <rPr>
        <vertAlign val="subscript"/>
        <sz val="10"/>
        <rFont val="Verdana"/>
        <family val="2"/>
      </rPr>
      <t>air</t>
    </r>
    <r>
      <rPr>
        <sz val="10"/>
        <rFont val="Verdana"/>
        <family val="2"/>
      </rPr>
      <t xml:space="preserve"> is F</t>
    </r>
    <r>
      <rPr>
        <vertAlign val="subscript"/>
        <sz val="10"/>
        <rFont val="Verdana"/>
        <family val="2"/>
      </rPr>
      <t>air_spray</t>
    </r>
    <r>
      <rPr>
        <sz val="10"/>
        <rFont val="Verdana"/>
        <family val="2"/>
      </rPr>
      <t xml:space="preserve"> or F</t>
    </r>
    <r>
      <rPr>
        <vertAlign val="subscript"/>
        <sz val="10"/>
        <rFont val="Verdana"/>
        <family val="2"/>
      </rPr>
      <t>air_fog</t>
    </r>
    <r>
      <rPr>
        <sz val="10"/>
        <rFont val="Verdana"/>
        <family val="2"/>
      </rPr>
      <t xml:space="preserve"> according to the method selected for disinfection of rooms</t>
    </r>
  </si>
  <si>
    <r>
      <t>Elocal</t>
    </r>
    <r>
      <rPr>
        <vertAlign val="subscript"/>
        <sz val="10"/>
        <rFont val="Verdana"/>
        <family val="2"/>
      </rPr>
      <t>water</t>
    </r>
  </si>
  <si>
    <r>
      <rPr>
        <b/>
        <sz val="10"/>
        <rFont val="Verdana"/>
        <family val="2"/>
      </rPr>
      <t>Elocal</t>
    </r>
    <r>
      <rPr>
        <b/>
        <vertAlign val="subscript"/>
        <sz val="10"/>
        <rFont val="Verdana"/>
        <family val="2"/>
      </rPr>
      <t>water</t>
    </r>
    <r>
      <rPr>
        <sz val="10"/>
        <rFont val="Verdana"/>
        <family val="2"/>
      </rPr>
      <t xml:space="preserve"> = Elocal</t>
    </r>
    <r>
      <rPr>
        <vertAlign val="subscript"/>
        <sz val="10"/>
        <rFont val="Verdana"/>
        <family val="2"/>
      </rPr>
      <t>water_eggs</t>
    </r>
    <r>
      <rPr>
        <sz val="10"/>
        <rFont val="Verdana"/>
        <family val="2"/>
      </rPr>
      <t xml:space="preserve"> + Elocal</t>
    </r>
    <r>
      <rPr>
        <vertAlign val="subscript"/>
        <sz val="10"/>
        <rFont val="Verdana"/>
        <family val="2"/>
      </rPr>
      <t>water_rooms</t>
    </r>
  </si>
  <si>
    <r>
      <t>Elocal</t>
    </r>
    <r>
      <rPr>
        <vertAlign val="subscript"/>
        <sz val="10"/>
        <rFont val="Verdana"/>
        <family val="2"/>
      </rPr>
      <t>air</t>
    </r>
  </si>
  <si>
    <r>
      <rPr>
        <b/>
        <sz val="10"/>
        <rFont val="Verdana"/>
        <family val="2"/>
      </rPr>
      <t>Elocal</t>
    </r>
    <r>
      <rPr>
        <b/>
        <vertAlign val="subscript"/>
        <sz val="10"/>
        <rFont val="Verdana"/>
        <family val="2"/>
      </rPr>
      <t>air</t>
    </r>
    <r>
      <rPr>
        <sz val="10"/>
        <rFont val="Verdana"/>
        <family val="2"/>
      </rPr>
      <t xml:space="preserve"> = Elocal</t>
    </r>
    <r>
      <rPr>
        <vertAlign val="subscript"/>
        <sz val="10"/>
        <rFont val="Verdana"/>
        <family val="2"/>
      </rPr>
      <t>air_eggs</t>
    </r>
    <r>
      <rPr>
        <sz val="10"/>
        <rFont val="Verdana"/>
        <family val="2"/>
      </rPr>
      <t xml:space="preserve"> + Elocal</t>
    </r>
    <r>
      <rPr>
        <vertAlign val="subscript"/>
        <sz val="10"/>
        <rFont val="Verdana"/>
        <family val="2"/>
      </rPr>
      <t>air_rooms</t>
    </r>
  </si>
  <si>
    <r>
      <t>app_rate 
(converted from L/m</t>
    </r>
    <r>
      <rPr>
        <vertAlign val="superscript"/>
        <sz val="10"/>
        <color theme="1"/>
        <rFont val="Verdana"/>
        <family val="2"/>
      </rPr>
      <t>2</t>
    </r>
    <r>
      <rPr>
        <sz val="10"/>
        <color theme="1"/>
        <rFont val="Verdana"/>
        <family val="2"/>
      </rPr>
      <t xml:space="preserve"> or L/m</t>
    </r>
    <r>
      <rPr>
        <vertAlign val="superscript"/>
        <sz val="10"/>
        <color theme="1"/>
        <rFont val="Verdana"/>
        <family val="2"/>
      </rPr>
      <t>3</t>
    </r>
    <r>
      <rPr>
        <sz val="10"/>
        <color theme="1"/>
        <rFont val="Verdana"/>
        <family val="2"/>
      </rPr>
      <t xml:space="preserve"> to g/m</t>
    </r>
    <r>
      <rPr>
        <vertAlign val="superscript"/>
        <sz val="10"/>
        <color theme="1"/>
        <rFont val="Verdana"/>
        <family val="2"/>
      </rPr>
      <t>2</t>
    </r>
    <r>
      <rPr>
        <sz val="10"/>
        <color theme="1"/>
        <rFont val="Verdana"/>
        <family val="2"/>
      </rPr>
      <t xml:space="preserve"> or g/m</t>
    </r>
    <r>
      <rPr>
        <vertAlign val="superscript"/>
        <sz val="10"/>
        <color theme="1"/>
        <rFont val="Verdana"/>
        <family val="2"/>
      </rPr>
      <t>3</t>
    </r>
    <r>
      <rPr>
        <sz val="10"/>
        <color theme="1"/>
        <rFont val="Verdana"/>
        <family val="2"/>
      </rPr>
      <t>)</t>
    </r>
  </si>
  <si>
    <r>
      <t xml:space="preserve">Enter value </t>
    </r>
    <r>
      <rPr>
        <b/>
        <sz val="10"/>
        <color theme="1"/>
        <rFont val="Verdana"/>
        <family val="2"/>
      </rPr>
      <t>1.2</t>
    </r>
    <r>
      <rPr>
        <sz val="10"/>
        <color theme="1"/>
        <rFont val="Verdana"/>
        <family val="2"/>
      </rPr>
      <t xml:space="preserve"> for formaldehyde and </t>
    </r>
    <r>
      <rPr>
        <b/>
        <sz val="10"/>
        <color theme="1"/>
        <rFont val="Verdana"/>
        <family val="2"/>
      </rPr>
      <t>7</t>
    </r>
    <r>
      <rPr>
        <sz val="10"/>
        <color theme="1"/>
        <rFont val="Verdana"/>
        <family val="2"/>
      </rPr>
      <t xml:space="preserve"> for paraformaldehyde. For other active ingredients enter </t>
    </r>
    <r>
      <rPr>
        <b/>
        <sz val="10"/>
        <color theme="1"/>
        <rFont val="Verdana"/>
        <family val="2"/>
      </rPr>
      <t>7</t>
    </r>
    <r>
      <rPr>
        <sz val="10"/>
        <color theme="1"/>
        <rFont val="Verdana"/>
        <family val="2"/>
      </rPr>
      <t xml:space="preserve"> if product specific information is not known (ESD PT 3, Table 6b).</t>
    </r>
  </si>
  <si>
    <t>Table 6b: active ingredient</t>
  </si>
  <si>
    <t>Qai appl (g.m-3)</t>
  </si>
  <si>
    <t>Formaldehyde</t>
  </si>
  <si>
    <t>Paraformaldehyde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</si>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</sst>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
    <numFmt numFmtId="166" formatCode="0.000"/>
  </numFmts>
  <fonts count="76">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i/>
      <sz val="10"/>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vertAlign val="subscript"/>
      <sz val="10"/>
      <name val="Verdana"/>
      <family val="2"/>
    </font>
    <font>
      <i/>
      <vertAlign val="superscript"/>
      <sz val="10"/>
      <color rgb="FF0070C0"/>
      <name val="Verdana"/>
      <family val="2"/>
    </font>
    <font>
      <b/>
      <i/>
      <sz val="10"/>
      <color theme="1"/>
      <name val="Verdana"/>
      <family val="2"/>
    </font>
    <font>
      <sz val="10"/>
      <name val="Arial"/>
      <family val="2"/>
    </font>
    <font>
      <sz val="10"/>
      <name val="Arial"/>
      <family val="2"/>
    </font>
    <font>
      <i/>
      <vertAlign val="superscript"/>
      <sz val="10"/>
      <color theme="1"/>
      <name val="Verdana"/>
      <family val="2"/>
    </font>
    <font>
      <i/>
      <sz val="10"/>
      <name val="Verdana"/>
      <family val="2"/>
    </font>
    <font>
      <i/>
      <vertAlign val="superscript"/>
      <sz val="10"/>
      <name val="Verdana"/>
      <family val="2"/>
    </font>
    <font>
      <vertAlign val="superscript"/>
      <sz val="10"/>
      <name val="Verdana"/>
      <family val="2"/>
    </font>
    <font>
      <b/>
      <sz val="10"/>
      <name val="Verdana"/>
      <family val="2"/>
    </font>
    <font>
      <b/>
      <vertAlign val="subscript"/>
      <sz val="10"/>
      <name val="Verdana"/>
      <family val="2"/>
    </font>
    <font>
      <b/>
      <sz val="10"/>
      <color rgb="FFFF0000"/>
      <name val="Verdana"/>
      <family val="2"/>
    </font>
    <font>
      <b/>
      <sz val="16"/>
      <color theme="1"/>
      <name val="Verdana"/>
      <family val="2"/>
    </font>
    <font>
      <sz val="10"/>
      <color rgb="FF00B050"/>
      <name val="Verdana"/>
      <family val="2"/>
    </font>
    <font>
      <b/>
      <sz val="11"/>
      <color theme="3"/>
      <name val="Verdana"/>
      <family val="2"/>
    </font>
    <font>
      <b/>
      <sz val="16"/>
      <color theme="3"/>
      <name val="Verdana"/>
      <family val="2"/>
    </font>
    <font>
      <b/>
      <sz val="14"/>
      <color theme="0"/>
      <name val="Verdana"/>
      <family val="2"/>
    </font>
    <font>
      <b/>
      <sz val="14"/>
      <color theme="3"/>
      <name val="Verdana"/>
      <family val="2"/>
    </font>
    <font>
      <b/>
      <sz val="11"/>
      <color rgb="FFFF0000"/>
      <name val="Verdana"/>
      <family val="2"/>
    </font>
    <font>
      <sz val="11"/>
      <color rgb="FFFF0000"/>
      <name val="Verdana"/>
      <family val="2"/>
    </font>
    <font>
      <b/>
      <sz val="10"/>
      <color rgb="FFEFB011"/>
      <name val="Verdana"/>
      <family val="2"/>
    </font>
    <font>
      <b/>
      <sz val="14"/>
      <color rgb="FF0070C0"/>
      <name val="Verdana"/>
      <family val="2"/>
    </font>
    <font>
      <b/>
      <sz val="12"/>
      <name val="Verdana"/>
      <family val="2"/>
    </font>
    <font>
      <b/>
      <sz val="11"/>
      <color theme="1"/>
      <name val="Verdana"/>
      <family val="2"/>
    </font>
    <font>
      <b/>
      <sz val="10"/>
      <color theme="3"/>
      <name val="Verdana"/>
      <family val="2"/>
    </font>
    <font>
      <b/>
      <sz val="11"/>
      <color theme="0"/>
      <name val="Verdana"/>
      <family val="2"/>
    </font>
    <font>
      <sz val="11"/>
      <color theme="1"/>
      <name val="Verdana"/>
      <family val="2"/>
    </font>
    <font>
      <sz val="10"/>
      <color rgb="FF0070C0"/>
      <name val="Verdana"/>
      <family val="2"/>
    </font>
    <font>
      <b/>
      <sz val="11"/>
      <color rgb="FFFA7D00"/>
      <name val="Calibri"/>
      <family val="2"/>
      <scheme val="minor"/>
    </font>
    <font>
      <strike/>
      <sz val="10"/>
      <color rgb="FF00B050"/>
      <name val="Verdana"/>
      <family val="2"/>
    </font>
    <font>
      <b/>
      <i/>
      <sz val="12"/>
      <color rgb="FFFF0000"/>
      <name val="Verdana"/>
      <family val="2"/>
    </font>
    <font>
      <b/>
      <sz val="10"/>
      <color rgb="FF0070C0"/>
      <name val="Verdana"/>
      <family val="2"/>
    </font>
    <font>
      <b/>
      <i/>
      <sz val="10"/>
      <color rgb="FF0070C0"/>
      <name val="Verdana"/>
      <family val="2"/>
    </font>
    <font>
      <b/>
      <u/>
      <sz val="11"/>
      <color theme="1"/>
      <name val="Verdana"/>
      <family val="2"/>
    </font>
    <font>
      <b/>
      <sz val="12"/>
      <color theme="1"/>
      <name val="Verdana"/>
      <family val="2"/>
    </font>
    <font>
      <sz val="12"/>
      <color theme="1"/>
      <name val="Verdana"/>
      <family val="2"/>
    </font>
    <font>
      <b/>
      <i/>
      <sz val="10"/>
      <name val="Verdana"/>
      <family val="2"/>
    </font>
    <font>
      <sz val="10"/>
      <color theme="1"/>
      <name val="Verdana"/>
      <family val="2"/>
    </font>
    <font>
      <sz val="10"/>
      <color theme="10"/>
      <name val="Verdana"/>
      <family val="2"/>
    </font>
    <font>
      <sz val="11"/>
      <color theme="10"/>
      <name val="Verdana"/>
      <family val="2"/>
    </font>
    <font>
      <u/>
      <sz val="10"/>
      <name val="Verdana"/>
      <family val="2"/>
    </font>
    <font>
      <sz val="10"/>
      <name val="Symbol"/>
      <family val="1"/>
      <charset val="2"/>
    </font>
    <font>
      <sz val="10"/>
      <name val="Verdana"/>
      <family val="1"/>
      <charset val="2"/>
    </font>
    <font>
      <b/>
      <sz val="12"/>
      <color rgb="FFFF0000"/>
      <name val="Calibri"/>
      <family val="2"/>
    </font>
    <font>
      <sz val="12"/>
      <color rgb="FFFF0000"/>
      <name val="Verdana"/>
      <family val="2"/>
    </font>
    <font>
      <sz val="10"/>
      <name val="Calibri"/>
      <family val="2"/>
    </font>
    <font>
      <sz val="8.5"/>
      <name val="Verdana"/>
      <family val="2"/>
    </font>
    <font>
      <b/>
      <sz val="16"/>
      <color rgb="FFFF0000"/>
      <name val="Verdana"/>
      <family val="2"/>
    </font>
    <font>
      <b/>
      <sz val="10"/>
      <color rgb="FFFF0000"/>
      <name val="Calibri"/>
      <family val="2"/>
    </font>
    <font>
      <b/>
      <sz val="14"/>
      <color theme="1"/>
      <name val="Verdana"/>
      <family val="2"/>
    </font>
    <font>
      <b/>
      <sz val="14"/>
      <name val="Verdana"/>
      <family val="2"/>
    </font>
    <font>
      <b/>
      <vertAlign val="superscript"/>
      <sz val="14"/>
      <color theme="1"/>
      <name val="Verdana"/>
      <family val="2"/>
    </font>
    <font>
      <i/>
      <u/>
      <sz val="10"/>
      <name val="Verdana"/>
      <family val="2"/>
    </font>
    <font>
      <i/>
      <u/>
      <vertAlign val="superscript"/>
      <sz val="10"/>
      <name val="Verdana"/>
      <family val="2"/>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rgb="FFFFFFCC"/>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rgb="FF3F3F3F"/>
      </top>
      <bottom style="thin">
        <color rgb="FF3F3F3F"/>
      </bottom>
      <diagonal/>
    </border>
    <border>
      <left/>
      <right/>
      <top/>
      <bottom style="thin">
        <color rgb="FF3F3F3F"/>
      </bottom>
      <diagonal/>
    </border>
    <border>
      <left/>
      <right/>
      <top style="thin">
        <color rgb="FF3F3F3F"/>
      </top>
      <bottom style="thin">
        <color rgb="FF3F3F3F"/>
      </bottom>
      <diagonal/>
    </border>
    <border>
      <left/>
      <right/>
      <top style="thin">
        <color rgb="FF3F3F3F"/>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double">
        <color rgb="FF3F3F3F"/>
      </left>
      <right style="double">
        <color rgb="FF3F3F3F"/>
      </right>
      <top style="medium">
        <color indexed="64"/>
      </top>
      <bottom style="double">
        <color rgb="FF3F3F3F"/>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3F3F3F"/>
      </left>
      <right style="medium">
        <color indexed="64"/>
      </right>
      <top style="thin">
        <color rgb="FF3F3F3F"/>
      </top>
      <bottom style="medium">
        <color indexed="64"/>
      </bottom>
      <diagonal/>
    </border>
    <border>
      <left style="thin">
        <color auto="1"/>
      </left>
      <right style="thin">
        <color auto="1"/>
      </right>
      <top style="thin">
        <color auto="1"/>
      </top>
      <bottom style="thin">
        <color rgb="FF3F3F3F"/>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1" fillId="6"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0" borderId="5" applyNumberFormat="0" applyFill="0" applyAlignment="0" applyProtection="0"/>
    <xf numFmtId="0" fontId="25" fillId="0" borderId="0"/>
    <xf numFmtId="0" fontId="26" fillId="0" borderId="0"/>
    <xf numFmtId="0" fontId="12" fillId="0" borderId="0" applyNumberFormat="0" applyFill="0" applyBorder="0" applyAlignment="0" applyProtection="0"/>
    <xf numFmtId="0" fontId="36" fillId="0" borderId="0" applyNumberFormat="0" applyFill="0" applyBorder="0" applyAlignment="0" applyProtection="0"/>
    <xf numFmtId="0" fontId="50" fillId="3" borderId="1" applyNumberFormat="0" applyAlignment="0" applyProtection="0"/>
  </cellStyleXfs>
  <cellXfs count="525">
    <xf numFmtId="0" fontId="0" fillId="0" borderId="0" xfId="0"/>
    <xf numFmtId="0" fontId="0" fillId="4" borderId="0" xfId="0" applyFill="1" applyAlignment="1">
      <alignment vertical="center"/>
    </xf>
    <xf numFmtId="0" fontId="0" fillId="4" borderId="0" xfId="0" applyFill="1" applyBorder="1" applyAlignment="1">
      <alignment vertical="center"/>
    </xf>
    <xf numFmtId="0" fontId="0" fillId="0" borderId="0" xfId="0" applyAlignment="1">
      <alignment vertical="center"/>
    </xf>
    <xf numFmtId="0" fontId="0" fillId="4" borderId="0" xfId="0" applyFill="1" applyBorder="1" applyAlignment="1">
      <alignment horizontal="left" vertical="center"/>
    </xf>
    <xf numFmtId="0" fontId="20" fillId="9" borderId="0" xfId="20" applyFont="1" applyFill="1" applyBorder="1" applyAlignment="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0" fillId="4" borderId="0" xfId="0" applyFont="1" applyFill="1" applyBorder="1" applyAlignment="1">
      <alignment vertical="center"/>
    </xf>
    <xf numFmtId="0" fontId="38" fillId="9" borderId="0" xfId="20" applyFont="1" applyFill="1" applyBorder="1" applyAlignment="1">
      <alignment vertical="center"/>
    </xf>
    <xf numFmtId="0" fontId="0" fillId="4" borderId="0" xfId="0" applyFont="1" applyFill="1" applyAlignment="1">
      <alignment vertical="center"/>
    </xf>
    <xf numFmtId="0" fontId="6" fillId="4" borderId="0" xfId="19" applyFont="1" applyFill="1" applyBorder="1" applyAlignment="1">
      <alignment vertical="center"/>
    </xf>
    <xf numFmtId="0" fontId="5" fillId="4" borderId="0" xfId="0" applyFont="1" applyFill="1" applyAlignment="1">
      <alignment vertical="center"/>
    </xf>
    <xf numFmtId="14" fontId="0" fillId="4" borderId="0" xfId="0" applyNumberFormat="1" applyFill="1" applyAlignment="1">
      <alignment vertical="center"/>
    </xf>
    <xf numFmtId="0" fontId="0" fillId="4" borderId="0" xfId="0" applyFill="1" applyAlignment="1">
      <alignment vertical="center" wrapText="1"/>
    </xf>
    <xf numFmtId="0" fontId="0" fillId="4" borderId="0" xfId="0" applyFont="1" applyFill="1" applyBorder="1" applyAlignment="1">
      <alignment horizontal="center" vertical="center"/>
    </xf>
    <xf numFmtId="0" fontId="28" fillId="10" borderId="0" xfId="0" applyFont="1" applyFill="1" applyBorder="1" applyAlignment="1">
      <alignment horizontal="center" vertical="center" wrapText="1"/>
    </xf>
    <xf numFmtId="0" fontId="7" fillId="5" borderId="0" xfId="0" applyFont="1" applyFill="1" applyBorder="1" applyAlignment="1">
      <alignment vertical="center"/>
    </xf>
    <xf numFmtId="0" fontId="28" fillId="10"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5" borderId="8" xfId="0" applyFont="1" applyFill="1" applyBorder="1" applyAlignment="1">
      <alignment vertical="center"/>
    </xf>
    <xf numFmtId="0" fontId="28" fillId="10" borderId="8" xfId="0" applyFont="1" applyFill="1" applyBorder="1" applyAlignment="1">
      <alignment horizontal="center" vertical="center"/>
    </xf>
    <xf numFmtId="0" fontId="7" fillId="10" borderId="8" xfId="0" applyFont="1" applyFill="1" applyBorder="1" applyAlignment="1">
      <alignment horizontal="center" vertical="center"/>
    </xf>
    <xf numFmtId="0" fontId="0" fillId="5" borderId="8" xfId="0" applyFill="1" applyBorder="1" applyAlignment="1">
      <alignment horizontal="center" vertical="center"/>
    </xf>
    <xf numFmtId="0" fontId="0" fillId="5" borderId="8" xfId="0" applyFont="1" applyFill="1" applyBorder="1" applyAlignment="1">
      <alignment vertical="center"/>
    </xf>
    <xf numFmtId="0" fontId="6" fillId="10" borderId="8" xfId="0" applyFont="1" applyFill="1" applyBorder="1" applyAlignment="1">
      <alignment horizontal="center" vertical="center"/>
    </xf>
    <xf numFmtId="0" fontId="0" fillId="10" borderId="8" xfId="0" applyFont="1" applyFill="1" applyBorder="1" applyAlignment="1">
      <alignment horizontal="center" vertical="center"/>
    </xf>
    <xf numFmtId="0" fontId="6" fillId="4" borderId="0" xfId="0" applyFont="1" applyFill="1" applyBorder="1" applyAlignment="1">
      <alignment horizontal="center" vertical="center"/>
    </xf>
    <xf numFmtId="0" fontId="24" fillId="5" borderId="7" xfId="0" applyFont="1" applyFill="1" applyBorder="1" applyAlignment="1">
      <alignment vertical="center"/>
    </xf>
    <xf numFmtId="0" fontId="28" fillId="10" borderId="7" xfId="0" applyFont="1" applyFill="1" applyBorder="1" applyAlignment="1">
      <alignment horizontal="center" vertical="center" wrapText="1"/>
    </xf>
    <xf numFmtId="0" fontId="7" fillId="10" borderId="7" xfId="0" applyFont="1" applyFill="1" applyBorder="1" applyAlignment="1">
      <alignment horizontal="center" vertical="center"/>
    </xf>
    <xf numFmtId="0" fontId="0" fillId="5" borderId="4" xfId="0" applyFont="1" applyFill="1" applyBorder="1" applyAlignment="1">
      <alignment vertical="center"/>
    </xf>
    <xf numFmtId="0" fontId="6" fillId="10" borderId="4" xfId="0" applyFont="1" applyFill="1" applyBorder="1" applyAlignment="1">
      <alignment horizontal="center" vertical="center"/>
    </xf>
    <xf numFmtId="0" fontId="0" fillId="10"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0" xfId="0" applyFill="1" applyAlignment="1">
      <alignment vertical="center"/>
    </xf>
    <xf numFmtId="0" fontId="0" fillId="5" borderId="0" xfId="0"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Alignment="1">
      <alignment vertical="center"/>
    </xf>
    <xf numFmtId="0" fontId="7" fillId="4" borderId="0" xfId="0" applyFont="1" applyFill="1" applyBorder="1" applyAlignment="1">
      <alignment horizontal="center" vertical="center"/>
    </xf>
    <xf numFmtId="0" fontId="34" fillId="4" borderId="0" xfId="0" applyFont="1" applyFill="1" applyBorder="1" applyAlignment="1">
      <alignment vertical="center"/>
    </xf>
    <xf numFmtId="0" fontId="24" fillId="4" borderId="0" xfId="0" applyFont="1" applyFill="1" applyBorder="1" applyAlignment="1">
      <alignment vertical="center"/>
    </xf>
    <xf numFmtId="0" fontId="7" fillId="4" borderId="8" xfId="0" applyFont="1" applyFill="1" applyBorder="1" applyAlignment="1">
      <alignment vertical="center"/>
    </xf>
    <xf numFmtId="0" fontId="0" fillId="4" borderId="8" xfId="0" applyFont="1" applyFill="1" applyBorder="1" applyAlignment="1">
      <alignment vertical="center"/>
    </xf>
    <xf numFmtId="0" fontId="28" fillId="11" borderId="0" xfId="0" applyFont="1" applyFill="1" applyBorder="1" applyAlignment="1">
      <alignment horizontal="center" vertical="center"/>
    </xf>
    <xf numFmtId="0" fontId="28" fillId="11" borderId="8" xfId="0" applyFont="1" applyFill="1" applyBorder="1" applyAlignment="1">
      <alignment horizontal="center" vertical="center"/>
    </xf>
    <xf numFmtId="0" fontId="6" fillId="11" borderId="8" xfId="0" applyFont="1" applyFill="1" applyBorder="1" applyAlignment="1">
      <alignment horizontal="center" vertical="center"/>
    </xf>
    <xf numFmtId="0" fontId="0" fillId="4" borderId="0" xfId="0" applyFill="1" applyBorder="1" applyAlignment="1">
      <alignment horizontal="center" vertical="center"/>
    </xf>
    <xf numFmtId="0" fontId="3" fillId="4" borderId="0" xfId="19" applyFont="1" applyFill="1" applyBorder="1" applyAlignment="1" applyProtection="1">
      <alignment vertical="center"/>
      <protection locked="0"/>
    </xf>
    <xf numFmtId="0" fontId="47" fillId="4" borderId="0" xfId="20" applyFont="1" applyFill="1" applyBorder="1" applyAlignment="1">
      <alignment vertical="center"/>
    </xf>
    <xf numFmtId="0" fontId="48" fillId="4" borderId="0" xfId="0" applyFont="1" applyFill="1" applyBorder="1" applyAlignment="1">
      <alignment vertical="center"/>
    </xf>
    <xf numFmtId="0" fontId="0" fillId="4" borderId="0" xfId="0" applyFill="1" applyAlignment="1" applyProtection="1">
      <alignment vertical="center"/>
      <protection locked="0"/>
    </xf>
    <xf numFmtId="0" fontId="0" fillId="4" borderId="0" xfId="0" applyFill="1" applyAlignment="1" applyProtection="1">
      <alignment horizontal="left" vertical="center"/>
      <protection locked="0"/>
    </xf>
    <xf numFmtId="0" fontId="6" fillId="4" borderId="0" xfId="0" applyFont="1" applyFill="1" applyAlignment="1" applyProtection="1">
      <alignment vertical="center"/>
      <protection locked="0"/>
    </xf>
    <xf numFmtId="0" fontId="0" fillId="4" borderId="0" xfId="0" applyFill="1" applyBorder="1" applyAlignment="1" applyProtection="1">
      <alignment vertical="center"/>
      <protection locked="0"/>
    </xf>
    <xf numFmtId="0" fontId="37" fillId="4" borderId="0" xfId="18" applyFont="1"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0" fillId="0" borderId="0" xfId="0" applyAlignment="1" applyProtection="1">
      <alignment vertical="center"/>
      <protection locked="0"/>
    </xf>
    <xf numFmtId="0" fontId="25" fillId="4" borderId="0" xfId="19" applyFill="1" applyAlignment="1" applyProtection="1">
      <alignment vertical="center"/>
      <protection locked="0"/>
    </xf>
    <xf numFmtId="0" fontId="3" fillId="9" borderId="0" xfId="0" applyFont="1" applyFill="1" applyBorder="1" applyAlignment="1" applyProtection="1">
      <alignment vertical="center"/>
      <protection locked="0"/>
    </xf>
    <xf numFmtId="0" fontId="0" fillId="9" borderId="0" xfId="0" applyFill="1" applyBorder="1" applyAlignment="1" applyProtection="1">
      <alignment vertical="center"/>
      <protection locked="0"/>
    </xf>
    <xf numFmtId="0" fontId="20" fillId="4" borderId="0" xfId="19"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9" fillId="4" borderId="0" xfId="22" applyFont="1" applyFill="1" applyBorder="1" applyAlignment="1" applyProtection="1">
      <alignment vertical="center" wrapText="1"/>
      <protection locked="0"/>
    </xf>
    <xf numFmtId="0" fontId="46" fillId="4" borderId="0" xfId="22" applyFont="1" applyFill="1" applyBorder="1" applyAlignment="1" applyProtection="1">
      <alignment horizontal="left" vertical="center" wrapText="1"/>
      <protection locked="0"/>
    </xf>
    <xf numFmtId="0" fontId="6" fillId="4" borderId="0" xfId="0" applyFont="1" applyFill="1" applyBorder="1" applyProtection="1">
      <protection locked="0"/>
    </xf>
    <xf numFmtId="0" fontId="6" fillId="4" borderId="0" xfId="0" applyFont="1" applyFill="1" applyProtection="1">
      <protection locked="0"/>
    </xf>
    <xf numFmtId="0" fontId="40" fillId="4" borderId="0" xfId="19" applyFont="1" applyFill="1" applyBorder="1" applyAlignment="1" applyProtection="1">
      <alignment vertical="center"/>
      <protection locked="0"/>
    </xf>
    <xf numFmtId="0" fontId="41" fillId="4" borderId="0" xfId="19" applyFont="1" applyFill="1" applyBorder="1" applyAlignment="1" applyProtection="1">
      <alignment vertical="center"/>
      <protection locked="0"/>
    </xf>
    <xf numFmtId="0" fontId="41" fillId="4" borderId="0" xfId="19" applyFont="1" applyFill="1" applyBorder="1" applyAlignment="1" applyProtection="1">
      <alignment horizontal="left" vertical="center"/>
      <protection locked="0"/>
    </xf>
    <xf numFmtId="0" fontId="41" fillId="4" borderId="0" xfId="0" applyFont="1" applyFill="1" applyBorder="1" applyProtection="1">
      <protection locked="0"/>
    </xf>
    <xf numFmtId="0" fontId="0" fillId="4" borderId="0" xfId="0" applyFill="1" applyBorder="1" applyProtection="1">
      <protection locked="0"/>
    </xf>
    <xf numFmtId="0" fontId="41" fillId="4" borderId="0" xfId="0" applyFont="1" applyFill="1" applyBorder="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33" fillId="4" borderId="0" xfId="0" applyFont="1" applyFill="1" applyBorder="1" applyAlignment="1" applyProtection="1">
      <alignment wrapText="1"/>
      <protection locked="0"/>
    </xf>
    <xf numFmtId="0" fontId="15"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6" fillId="4" borderId="0" xfId="0" applyFont="1" applyFill="1" applyBorder="1" applyAlignment="1" applyProtection="1">
      <alignment horizontal="left" vertical="center"/>
      <protection locked="0"/>
    </xf>
    <xf numFmtId="0" fontId="14"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6"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8" fillId="8" borderId="0" xfId="0" applyFont="1" applyFill="1" applyBorder="1" applyAlignment="1" applyProtection="1">
      <alignment vertical="center"/>
      <protection locked="0"/>
    </xf>
    <xf numFmtId="0" fontId="8" fillId="8" borderId="0" xfId="0" applyFont="1" applyFill="1" applyBorder="1" applyAlignment="1" applyProtection="1">
      <alignment horizontal="left" vertical="center"/>
      <protection locked="0"/>
    </xf>
    <xf numFmtId="0" fontId="8" fillId="8" borderId="0" xfId="0" applyFont="1" applyFill="1" applyBorder="1" applyAlignment="1" applyProtection="1">
      <alignment horizontal="center" vertical="center"/>
      <protection locked="0"/>
    </xf>
    <xf numFmtId="0" fontId="0" fillId="8" borderId="0" xfId="0" applyFill="1" applyAlignment="1" applyProtection="1">
      <alignment horizontal="left" vertical="center"/>
      <protection locked="0"/>
    </xf>
    <xf numFmtId="0" fontId="9" fillId="8" borderId="0" xfId="0" applyFont="1" applyFill="1" applyBorder="1" applyAlignment="1" applyProtection="1">
      <alignment vertical="center"/>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vertical="center" wrapText="1"/>
      <protection locked="0"/>
    </xf>
    <xf numFmtId="0" fontId="6" fillId="8" borderId="0" xfId="0" applyFont="1" applyFill="1" applyBorder="1" applyAlignment="1" applyProtection="1">
      <alignment horizontal="left" vertical="center"/>
      <protection locked="0"/>
    </xf>
    <xf numFmtId="0" fontId="6" fillId="9" borderId="6" xfId="1" applyFont="1"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vertical="center"/>
      <protection locked="0"/>
    </xf>
    <xf numFmtId="0" fontId="0" fillId="8" borderId="0" xfId="0" applyFont="1" applyFill="1" applyBorder="1" applyAlignment="1" applyProtection="1">
      <alignment horizontal="center" vertical="center"/>
      <protection locked="0"/>
    </xf>
    <xf numFmtId="0" fontId="6" fillId="8" borderId="0" xfId="0" applyFont="1" applyFill="1" applyBorder="1" applyAlignment="1" applyProtection="1">
      <alignment vertical="center" wrapText="1"/>
      <protection locked="0"/>
    </xf>
    <xf numFmtId="0" fontId="6" fillId="8" borderId="0" xfId="0" applyFont="1" applyFill="1" applyBorder="1" applyAlignment="1" applyProtection="1">
      <alignment horizontal="left" vertical="center" wrapText="1"/>
      <protection locked="0"/>
    </xf>
    <xf numFmtId="0" fontId="6" fillId="8" borderId="0" xfId="0" applyFont="1" applyFill="1" applyBorder="1" applyAlignment="1" applyProtection="1">
      <alignment horizontal="center" vertical="center"/>
      <protection locked="0"/>
    </xf>
    <xf numFmtId="0" fontId="35" fillId="8" borderId="0" xfId="0" applyFont="1" applyFill="1" applyBorder="1" applyAlignment="1" applyProtection="1">
      <alignment horizontal="center" vertical="center"/>
      <protection locked="0"/>
    </xf>
    <xf numFmtId="0" fontId="4" fillId="8" borderId="0" xfId="0" applyFont="1" applyFill="1" applyAlignment="1" applyProtection="1">
      <alignment vertical="center"/>
      <protection locked="0"/>
    </xf>
    <xf numFmtId="2" fontId="0" fillId="8" borderId="0" xfId="0" applyNumberFormat="1" applyFill="1" applyBorder="1" applyAlignment="1" applyProtection="1">
      <alignment horizontal="center" vertical="center"/>
      <protection locked="0"/>
    </xf>
    <xf numFmtId="0" fontId="4" fillId="8" borderId="0" xfId="0" applyFont="1" applyFill="1" applyBorder="1" applyAlignment="1" applyProtection="1">
      <alignment horizontal="center" vertical="center"/>
      <protection locked="0"/>
    </xf>
    <xf numFmtId="0" fontId="6" fillId="8" borderId="0" xfId="0"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0" fontId="6" fillId="8" borderId="11" xfId="0" applyFont="1" applyFill="1" applyBorder="1" applyAlignment="1" applyProtection="1">
      <alignment horizontal="center" vertical="center" textRotation="90" wrapText="1"/>
      <protection locked="0"/>
    </xf>
    <xf numFmtId="0" fontId="4"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35" fillId="8" borderId="0" xfId="0" applyFont="1" applyFill="1" applyBorder="1" applyAlignment="1" applyProtection="1">
      <alignment horizontal="left" vertical="center" wrapText="1"/>
      <protection locked="0"/>
    </xf>
    <xf numFmtId="0" fontId="10" fillId="8" borderId="0" xfId="0" applyFont="1" applyFill="1" applyBorder="1" applyAlignment="1" applyProtection="1">
      <alignment vertical="center"/>
      <protection locked="0"/>
    </xf>
    <xf numFmtId="0" fontId="10" fillId="8" borderId="13" xfId="0" applyFont="1" applyFill="1" applyBorder="1" applyAlignment="1" applyProtection="1">
      <alignment vertical="center"/>
      <protection locked="0"/>
    </xf>
    <xf numFmtId="0" fontId="6" fillId="8" borderId="13" xfId="0" applyFont="1" applyFill="1" applyBorder="1" applyAlignment="1" applyProtection="1">
      <alignment vertical="center"/>
      <protection locked="0"/>
    </xf>
    <xf numFmtId="0" fontId="10" fillId="8" borderId="15" xfId="0" applyFont="1" applyFill="1" applyBorder="1" applyAlignment="1" applyProtection="1">
      <alignment vertical="center"/>
      <protection locked="0"/>
    </xf>
    <xf numFmtId="0" fontId="0" fillId="8" borderId="15" xfId="0" applyFill="1" applyBorder="1" applyAlignment="1" applyProtection="1">
      <alignment vertical="center"/>
      <protection locked="0"/>
    </xf>
    <xf numFmtId="0" fontId="6" fillId="8" borderId="15" xfId="0" applyFont="1" applyFill="1" applyBorder="1" applyAlignment="1" applyProtection="1">
      <alignment vertical="center"/>
      <protection locked="0"/>
    </xf>
    <xf numFmtId="0" fontId="6" fillId="8" borderId="8" xfId="0" applyFont="1" applyFill="1" applyBorder="1" applyAlignment="1" applyProtection="1">
      <alignment vertical="center"/>
      <protection locked="0"/>
    </xf>
    <xf numFmtId="0" fontId="0" fillId="8" borderId="0" xfId="0" applyFill="1" applyBorder="1" applyAlignment="1" applyProtection="1">
      <alignment horizontal="right" vertical="center" wrapText="1"/>
      <protection locked="0"/>
    </xf>
    <xf numFmtId="2" fontId="2" fillId="8" borderId="14" xfId="2" applyNumberFormat="1" applyFill="1" applyBorder="1" applyAlignment="1" applyProtection="1">
      <alignment horizontal="center" vertical="center"/>
      <protection locked="0"/>
    </xf>
    <xf numFmtId="2" fontId="6" fillId="8" borderId="14" xfId="0" applyNumberFormat="1" applyFont="1" applyFill="1" applyBorder="1" applyAlignment="1" applyProtection="1">
      <alignment vertical="center"/>
      <protection locked="0"/>
    </xf>
    <xf numFmtId="0" fontId="31" fillId="8" borderId="0" xfId="0" applyFont="1" applyFill="1" applyBorder="1" applyAlignment="1" applyProtection="1">
      <alignment vertical="center" wrapText="1"/>
      <protection locked="0"/>
    </xf>
    <xf numFmtId="0" fontId="21"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center" vertical="center" wrapText="1"/>
      <protection locked="0"/>
    </xf>
    <xf numFmtId="2" fontId="2" fillId="8" borderId="15" xfId="2" applyNumberFormat="1" applyFill="1" applyBorder="1" applyAlignment="1" applyProtection="1">
      <alignment horizontal="center" vertical="center"/>
      <protection locked="0"/>
    </xf>
    <xf numFmtId="2" fontId="0" fillId="8" borderId="15" xfId="0" applyNumberFormat="1" applyFill="1" applyBorder="1" applyAlignment="1" applyProtection="1">
      <alignment horizontal="center" vertical="center"/>
      <protection locked="0"/>
    </xf>
    <xf numFmtId="2" fontId="0" fillId="8" borderId="15" xfId="0" applyNumberFormat="1" applyFill="1" applyBorder="1" applyAlignment="1" applyProtection="1">
      <alignment vertical="center"/>
      <protection locked="0"/>
    </xf>
    <xf numFmtId="2" fontId="6" fillId="8" borderId="15" xfId="0" applyNumberFormat="1" applyFont="1" applyFill="1" applyBorder="1" applyAlignment="1" applyProtection="1">
      <alignment vertical="center"/>
      <protection locked="0"/>
    </xf>
    <xf numFmtId="2" fontId="2" fillId="8" borderId="0" xfId="2" applyNumberFormat="1" applyFill="1" applyBorder="1" applyAlignment="1" applyProtection="1">
      <alignment horizontal="center" vertical="center"/>
      <protection locked="0"/>
    </xf>
    <xf numFmtId="2" fontId="0" fillId="8" borderId="0" xfId="0" applyNumberFormat="1" applyFill="1" applyBorder="1" applyAlignment="1" applyProtection="1">
      <alignment vertical="center"/>
      <protection locked="0"/>
    </xf>
    <xf numFmtId="2" fontId="6" fillId="8" borderId="0" xfId="0" applyNumberFormat="1" applyFont="1" applyFill="1" applyBorder="1" applyAlignment="1" applyProtection="1">
      <alignment vertical="center"/>
      <protection locked="0"/>
    </xf>
    <xf numFmtId="0" fontId="43" fillId="8" borderId="0" xfId="0" applyFont="1" applyFill="1" applyBorder="1" applyAlignment="1" applyProtection="1">
      <alignment vertical="center" wrapText="1"/>
      <protection locked="0"/>
    </xf>
    <xf numFmtId="0" fontId="43" fillId="8" borderId="0" xfId="0" applyFont="1" applyFill="1" applyBorder="1" applyAlignment="1" applyProtection="1">
      <alignment horizontal="left" vertical="center" wrapText="1"/>
      <protection locked="0"/>
    </xf>
    <xf numFmtId="0" fontId="28" fillId="8" borderId="0" xfId="0" applyFont="1" applyFill="1" applyBorder="1" applyAlignment="1" applyProtection="1">
      <alignment vertical="center"/>
      <protection locked="0"/>
    </xf>
    <xf numFmtId="0" fontId="10" fillId="8" borderId="0" xfId="0" applyFont="1" applyFill="1" applyBorder="1" applyAlignment="1" applyProtection="1">
      <alignment vertical="center" wrapText="1"/>
      <protection locked="0"/>
    </xf>
    <xf numFmtId="0" fontId="0" fillId="8" borderId="15" xfId="0" applyFill="1" applyBorder="1" applyAlignment="1" applyProtection="1">
      <alignment horizontal="left" vertical="center"/>
      <protection locked="0"/>
    </xf>
    <xf numFmtId="49" fontId="28" fillId="8" borderId="0" xfId="0" applyNumberFormat="1" applyFont="1" applyFill="1" applyBorder="1" applyAlignment="1" applyProtection="1">
      <alignment horizontal="left" vertical="center"/>
      <protection locked="0"/>
    </xf>
    <xf numFmtId="49" fontId="6" fillId="8"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2" fillId="3" borderId="2" xfId="2" applyAlignment="1" applyProtection="1">
      <alignment horizontal="center" vertical="center"/>
    </xf>
    <xf numFmtId="11" fontId="2" fillId="3" borderId="2" xfId="2" applyNumberFormat="1" applyAlignment="1" applyProtection="1">
      <alignment horizontal="center" vertical="center"/>
    </xf>
    <xf numFmtId="165" fontId="31" fillId="3" borderId="12" xfId="2" applyNumberFormat="1" applyFont="1" applyBorder="1" applyAlignment="1" applyProtection="1">
      <alignment horizontal="center" vertical="center"/>
    </xf>
    <xf numFmtId="0" fontId="11" fillId="6" borderId="3" xfId="3" applyAlignment="1" applyProtection="1">
      <alignment horizontal="center" vertical="center" wrapText="1"/>
      <protection locked="0"/>
    </xf>
    <xf numFmtId="0" fontId="6" fillId="8" borderId="0" xfId="0" applyFont="1" applyFill="1" applyAlignment="1" applyProtection="1">
      <alignment horizontal="center" vertical="center"/>
      <protection locked="0"/>
    </xf>
    <xf numFmtId="11" fontId="2" fillId="3" borderId="12" xfId="2" applyNumberFormat="1" applyBorder="1" applyAlignment="1" applyProtection="1">
      <alignment horizontal="center" vertical="center"/>
    </xf>
    <xf numFmtId="164" fontId="0" fillId="8" borderId="15" xfId="0" applyNumberFormat="1" applyFill="1" applyBorder="1" applyAlignment="1" applyProtection="1">
      <alignment vertical="center"/>
      <protection locked="0"/>
    </xf>
    <xf numFmtId="164" fontId="6" fillId="8" borderId="15" xfId="0" applyNumberFormat="1" applyFont="1" applyFill="1" applyBorder="1" applyAlignment="1" applyProtection="1">
      <alignment vertical="center"/>
      <protection locked="0"/>
    </xf>
    <xf numFmtId="164" fontId="0" fillId="8" borderId="0" xfId="0" applyNumberFormat="1" applyFill="1" applyBorder="1" applyAlignment="1" applyProtection="1">
      <alignment vertical="center"/>
      <protection locked="0"/>
    </xf>
    <xf numFmtId="164" fontId="6" fillId="8" borderId="0" xfId="0" applyNumberFormat="1" applyFont="1" applyFill="1" applyBorder="1" applyAlignment="1" applyProtection="1">
      <alignment vertical="center"/>
      <protection locked="0"/>
    </xf>
    <xf numFmtId="164" fontId="10" fillId="8" borderId="15" xfId="0" applyNumberFormat="1" applyFont="1" applyFill="1" applyBorder="1" applyAlignment="1" applyProtection="1">
      <alignment vertical="center"/>
      <protection locked="0"/>
    </xf>
    <xf numFmtId="164" fontId="0" fillId="8" borderId="15" xfId="0" applyNumberFormat="1" applyFill="1" applyBorder="1" applyAlignment="1" applyProtection="1">
      <alignment horizontal="left" vertical="center"/>
      <protection locked="0"/>
    </xf>
    <xf numFmtId="164" fontId="10" fillId="8" borderId="0" xfId="0" applyNumberFormat="1" applyFont="1" applyFill="1" applyBorder="1" applyAlignment="1" applyProtection="1">
      <alignment vertical="center"/>
      <protection locked="0"/>
    </xf>
    <xf numFmtId="164" fontId="0" fillId="8" borderId="0" xfId="0" applyNumberFormat="1" applyFill="1" applyBorder="1" applyAlignment="1" applyProtection="1">
      <alignment horizontal="left" vertical="center"/>
      <protection locked="0"/>
    </xf>
    <xf numFmtId="164" fontId="0" fillId="8" borderId="0" xfId="0" applyNumberFormat="1" applyFill="1" applyBorder="1" applyAlignment="1" applyProtection="1">
      <alignment horizontal="center" vertical="center"/>
      <protection locked="0"/>
    </xf>
    <xf numFmtId="164" fontId="6" fillId="8" borderId="0" xfId="0" applyNumberFormat="1" applyFont="1" applyFill="1" applyBorder="1" applyAlignment="1" applyProtection="1">
      <alignment horizontal="center" vertical="center"/>
      <protection locked="0"/>
    </xf>
    <xf numFmtId="164" fontId="0" fillId="8" borderId="0" xfId="0" applyNumberFormat="1" applyFill="1" applyBorder="1" applyAlignment="1" applyProtection="1">
      <alignment horizontal="left" vertical="center" wrapText="1"/>
      <protection locked="0"/>
    </xf>
    <xf numFmtId="0" fontId="39" fillId="4" borderId="0" xfId="22" applyFont="1" applyFill="1" applyBorder="1" applyAlignment="1" applyProtection="1">
      <alignment horizontal="left" vertical="center" wrapText="1"/>
      <protection locked="0"/>
    </xf>
    <xf numFmtId="0" fontId="35" fillId="8" borderId="0" xfId="0" applyFont="1" applyFill="1" applyBorder="1" applyAlignment="1" applyProtection="1">
      <alignment horizontal="left" vertical="center"/>
      <protection locked="0"/>
    </xf>
    <xf numFmtId="0" fontId="35" fillId="8" borderId="0" xfId="0" applyFont="1" applyFill="1" applyBorder="1" applyAlignment="1" applyProtection="1">
      <alignment vertical="center" wrapText="1"/>
      <protection locked="0"/>
    </xf>
    <xf numFmtId="0" fontId="35" fillId="8" borderId="0" xfId="0" applyFont="1" applyFill="1" applyAlignment="1" applyProtection="1">
      <alignment vertical="center"/>
      <protection locked="0"/>
    </xf>
    <xf numFmtId="0" fontId="4" fillId="8" borderId="0" xfId="0" applyFont="1" applyFill="1" applyBorder="1" applyAlignment="1" applyProtection="1">
      <alignment vertical="center" wrapText="1"/>
      <protection locked="0"/>
    </xf>
    <xf numFmtId="0" fontId="0" fillId="13" borderId="0" xfId="0" applyFill="1" applyAlignment="1">
      <alignment vertical="center"/>
    </xf>
    <xf numFmtId="0" fontId="33" fillId="8" borderId="0" xfId="0" applyFont="1" applyFill="1" applyBorder="1" applyAlignment="1" applyProtection="1">
      <alignment horizontal="right" vertical="center"/>
      <protection locked="0"/>
    </xf>
    <xf numFmtId="0" fontId="0" fillId="5" borderId="8" xfId="0" applyFont="1" applyFill="1" applyBorder="1" applyAlignment="1">
      <alignment vertical="center" wrapText="1"/>
    </xf>
    <xf numFmtId="0" fontId="0" fillId="4" borderId="6" xfId="0"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0" fillId="3" borderId="6" xfId="23" applyBorder="1" applyAlignment="1" applyProtection="1">
      <alignment horizontal="center" vertical="center" wrapText="1"/>
    </xf>
    <xf numFmtId="0" fontId="31" fillId="8" borderId="16" xfId="0" applyFont="1" applyFill="1" applyBorder="1" applyAlignment="1" applyProtection="1">
      <alignment horizontal="center" vertical="center" textRotation="90" wrapText="1"/>
      <protection locked="0"/>
    </xf>
    <xf numFmtId="0" fontId="51" fillId="8" borderId="0" xfId="0" applyFont="1" applyFill="1" applyBorder="1" applyAlignment="1" applyProtection="1">
      <alignment horizontal="center" vertical="center"/>
      <protection locked="0"/>
    </xf>
    <xf numFmtId="0" fontId="5" fillId="8" borderId="8" xfId="0" applyFont="1" applyFill="1" applyBorder="1" applyAlignment="1" applyProtection="1">
      <alignment horizontal="right" vertical="center"/>
      <protection locked="0"/>
    </xf>
    <xf numFmtId="0" fontId="6" fillId="8" borderId="0" xfId="0" applyFont="1" applyFill="1" applyBorder="1" applyAlignment="1" applyProtection="1">
      <alignment horizontal="center" vertical="center"/>
    </xf>
    <xf numFmtId="0" fontId="6" fillId="8" borderId="0" xfId="0" applyFont="1" applyFill="1" applyBorder="1" applyAlignment="1" applyProtection="1">
      <alignment horizontal="center" vertical="center" wrapText="1"/>
      <protection locked="0"/>
    </xf>
    <xf numFmtId="0" fontId="43" fillId="8" borderId="0" xfId="0" applyFont="1" applyFill="1" applyBorder="1" applyAlignment="1" applyProtection="1">
      <alignment vertical="center"/>
      <protection locked="0"/>
    </xf>
    <xf numFmtId="0" fontId="6" fillId="0" borderId="0" xfId="0" applyFont="1" applyAlignment="1" applyProtection="1">
      <alignment vertical="center"/>
      <protection locked="0"/>
    </xf>
    <xf numFmtId="0" fontId="7" fillId="10" borderId="10" xfId="0" applyFont="1" applyFill="1" applyBorder="1" applyAlignment="1">
      <alignment vertical="center"/>
    </xf>
    <xf numFmtId="0" fontId="7" fillId="10" borderId="8" xfId="0" applyFont="1" applyFill="1" applyBorder="1" applyAlignment="1">
      <alignment vertical="center"/>
    </xf>
    <xf numFmtId="0" fontId="7" fillId="10" borderId="9" xfId="0" applyFont="1" applyFill="1" applyBorder="1" applyAlignment="1">
      <alignment vertical="center"/>
    </xf>
    <xf numFmtId="0" fontId="5" fillId="10" borderId="10" xfId="0" applyFont="1" applyFill="1" applyBorder="1" applyAlignment="1">
      <alignment vertical="center"/>
    </xf>
    <xf numFmtId="0" fontId="0" fillId="10" borderId="8" xfId="0" applyFill="1" applyBorder="1" applyAlignment="1">
      <alignment vertical="center"/>
    </xf>
    <xf numFmtId="0" fontId="0" fillId="10" borderId="9" xfId="0" applyFill="1" applyBorder="1" applyAlignment="1">
      <alignment vertical="center"/>
    </xf>
    <xf numFmtId="0" fontId="7" fillId="10" borderId="6" xfId="0" applyFont="1" applyFill="1" applyBorder="1" applyAlignment="1">
      <alignment horizontal="center" vertical="center"/>
    </xf>
    <xf numFmtId="0" fontId="7" fillId="10" borderId="6" xfId="0" applyFont="1" applyFill="1" applyBorder="1" applyAlignment="1">
      <alignment horizontal="center" vertical="center" wrapText="1"/>
    </xf>
    <xf numFmtId="0" fontId="11" fillId="6" borderId="3" xfId="3" applyFont="1" applyAlignment="1" applyProtection="1">
      <alignment horizontal="center" vertical="center" wrapText="1"/>
      <protection locked="0"/>
    </xf>
    <xf numFmtId="0" fontId="56" fillId="9" borderId="0" xfId="0" applyFont="1" applyFill="1" applyAlignment="1">
      <alignment vertical="center"/>
    </xf>
    <xf numFmtId="0" fontId="56" fillId="12" borderId="0" xfId="0" applyFont="1" applyFill="1" applyAlignment="1">
      <alignment vertical="center"/>
    </xf>
    <xf numFmtId="0" fontId="0" fillId="8" borderId="8" xfId="0" applyFont="1" applyFill="1" applyBorder="1" applyAlignment="1" applyProtection="1">
      <alignment horizontal="center" vertical="center"/>
      <protection locked="0"/>
    </xf>
    <xf numFmtId="0" fontId="7" fillId="5" borderId="4" xfId="0" applyFont="1" applyFill="1" applyBorder="1" applyAlignment="1">
      <alignment vertical="center" wrapText="1"/>
    </xf>
    <xf numFmtId="0" fontId="0" fillId="4" borderId="0" xfId="0" applyFill="1"/>
    <xf numFmtId="0" fontId="0" fillId="4" borderId="0" xfId="0" applyFill="1" applyAlignment="1">
      <alignment horizontal="left"/>
    </xf>
    <xf numFmtId="0" fontId="0" fillId="4" borderId="0" xfId="0" applyFill="1" applyAlignment="1">
      <alignment horizontal="left" wrapText="1"/>
    </xf>
    <xf numFmtId="0" fontId="37" fillId="4" borderId="0" xfId="18" applyFont="1" applyFill="1" applyBorder="1"/>
    <xf numFmtId="0" fontId="16" fillId="4" borderId="0" xfId="18" applyFill="1" applyBorder="1" applyAlignment="1">
      <alignment horizontal="left"/>
    </xf>
    <xf numFmtId="0" fontId="25" fillId="4" borderId="0" xfId="19" applyFill="1"/>
    <xf numFmtId="0" fontId="25" fillId="4" borderId="0" xfId="19" applyFill="1" applyAlignment="1">
      <alignment horizontal="left"/>
    </xf>
    <xf numFmtId="0" fontId="57" fillId="4" borderId="0" xfId="19" applyFont="1" applyFill="1"/>
    <xf numFmtId="0" fontId="57" fillId="4" borderId="0" xfId="19" applyFont="1" applyFill="1" applyAlignment="1">
      <alignment horizontal="left"/>
    </xf>
    <xf numFmtId="0" fontId="38" fillId="9" borderId="0" xfId="19" applyFont="1" applyFill="1" applyAlignment="1">
      <alignment vertical="center"/>
    </xf>
    <xf numFmtId="0" fontId="20" fillId="9" borderId="0" xfId="19" applyFont="1" applyFill="1" applyAlignment="1">
      <alignment horizontal="left" vertical="center"/>
    </xf>
    <xf numFmtId="0" fontId="3" fillId="9" borderId="0" xfId="0" applyFont="1" applyFill="1" applyAlignment="1">
      <alignment horizontal="left" wrapText="1"/>
    </xf>
    <xf numFmtId="0" fontId="3" fillId="9" borderId="0" xfId="0" applyFont="1" applyFill="1"/>
    <xf numFmtId="0" fontId="0" fillId="9" borderId="0" xfId="0" applyFill="1"/>
    <xf numFmtId="0" fontId="6" fillId="4" borderId="0" xfId="0" applyFont="1" applyFill="1"/>
    <xf numFmtId="0" fontId="40" fillId="4" borderId="0" xfId="22" applyFont="1" applyFill="1" applyBorder="1" applyAlignment="1">
      <alignment vertical="center"/>
    </xf>
    <xf numFmtId="0" fontId="33" fillId="4" borderId="0" xfId="22" applyFont="1" applyFill="1" applyBorder="1" applyAlignment="1">
      <alignment vertical="center"/>
    </xf>
    <xf numFmtId="0" fontId="6" fillId="0" borderId="0" xfId="0" applyFont="1"/>
    <xf numFmtId="0" fontId="33" fillId="4" borderId="0" xfId="0" applyFont="1" applyFill="1" applyAlignment="1">
      <alignment vertical="center" wrapText="1"/>
    </xf>
    <xf numFmtId="0" fontId="33" fillId="4" borderId="0" xfId="0" applyFont="1" applyFill="1" applyAlignment="1">
      <alignment wrapText="1"/>
    </xf>
    <xf numFmtId="0" fontId="4" fillId="4" borderId="0" xfId="22" applyFont="1" applyFill="1" applyBorder="1" applyAlignment="1">
      <alignment horizontal="left" vertical="center" wrapText="1"/>
    </xf>
    <xf numFmtId="0" fontId="42" fillId="4" borderId="0" xfId="0" applyFont="1" applyFill="1"/>
    <xf numFmtId="0" fontId="14" fillId="7" borderId="0" xfId="0" applyFont="1" applyFill="1" applyAlignment="1">
      <alignment vertical="center"/>
    </xf>
    <xf numFmtId="0" fontId="14" fillId="7" borderId="0" xfId="0" applyFont="1" applyFill="1" applyAlignment="1">
      <alignment horizontal="left" vertical="center"/>
    </xf>
    <xf numFmtId="0" fontId="3" fillId="7" borderId="0" xfId="0" applyFont="1" applyFill="1" applyAlignment="1">
      <alignment horizontal="left" wrapText="1"/>
    </xf>
    <xf numFmtId="0" fontId="3" fillId="7" borderId="0" xfId="0" applyFont="1" applyFill="1"/>
    <xf numFmtId="0" fontId="3" fillId="7" borderId="0" xfId="0" applyFont="1" applyFill="1" applyAlignment="1">
      <alignment horizontal="left"/>
    </xf>
    <xf numFmtId="0" fontId="0" fillId="8" borderId="0" xfId="0" applyFill="1"/>
    <xf numFmtId="0" fontId="0" fillId="8" borderId="0" xfId="0" applyFill="1" applyAlignment="1">
      <alignment horizontal="left"/>
    </xf>
    <xf numFmtId="0" fontId="0" fillId="8" borderId="0" xfId="0" applyFill="1" applyAlignment="1">
      <alignment horizontal="left" wrapText="1"/>
    </xf>
    <xf numFmtId="0" fontId="8" fillId="8" borderId="0" xfId="0" applyFont="1" applyFill="1"/>
    <xf numFmtId="0" fontId="8" fillId="8" borderId="0" xfId="0" applyFont="1" applyFill="1" applyAlignment="1">
      <alignment horizontal="left"/>
    </xf>
    <xf numFmtId="0" fontId="8" fillId="8" borderId="0" xfId="0" applyFont="1" applyFill="1" applyAlignment="1">
      <alignment horizontal="left" wrapText="1"/>
    </xf>
    <xf numFmtId="0" fontId="8" fillId="8" borderId="0" xfId="0" applyFont="1" applyFill="1" applyAlignment="1">
      <alignment horizontal="center"/>
    </xf>
    <xf numFmtId="0" fontId="9" fillId="8" borderId="0" xfId="0" applyFont="1" applyFill="1"/>
    <xf numFmtId="0" fontId="9" fillId="8" borderId="0" xfId="0" applyFont="1" applyFill="1" applyAlignment="1">
      <alignment horizontal="left"/>
    </xf>
    <xf numFmtId="0" fontId="0" fillId="8" borderId="0" xfId="0" applyFill="1" applyAlignment="1">
      <alignment horizontal="left" vertical="center" wrapText="1"/>
    </xf>
    <xf numFmtId="0" fontId="0" fillId="8" borderId="0" xfId="0" applyFill="1" applyAlignment="1">
      <alignment horizontal="center" vertical="center"/>
    </xf>
    <xf numFmtId="0" fontId="0" fillId="8" borderId="0" xfId="0" applyFill="1" applyAlignment="1">
      <alignment horizontal="left" vertical="center"/>
    </xf>
    <xf numFmtId="0" fontId="0" fillId="8" borderId="0" xfId="0" applyFill="1" applyAlignment="1">
      <alignment vertical="center" wrapText="1"/>
    </xf>
    <xf numFmtId="0" fontId="2" fillId="3" borderId="2" xfId="2" applyAlignment="1">
      <alignment horizontal="center" vertical="center"/>
    </xf>
    <xf numFmtId="0" fontId="4" fillId="8" borderId="0" xfId="0" applyFont="1" applyFill="1" applyAlignment="1">
      <alignment horizontal="center" vertical="center"/>
    </xf>
    <xf numFmtId="0" fontId="4" fillId="8" borderId="0" xfId="0" applyFont="1" applyFill="1" applyAlignment="1">
      <alignment horizontal="left" vertical="center" wrapText="1"/>
    </xf>
    <xf numFmtId="0" fontId="0" fillId="8" borderId="0" xfId="0" applyFill="1" applyAlignment="1">
      <alignment vertical="center"/>
    </xf>
    <xf numFmtId="0" fontId="0" fillId="4" borderId="0" xfId="0" applyFill="1" applyAlignment="1">
      <alignment horizontal="left" vertical="center"/>
    </xf>
    <xf numFmtId="0" fontId="8" fillId="4" borderId="0" xfId="0" applyFont="1" applyFill="1"/>
    <xf numFmtId="0" fontId="8" fillId="4" borderId="0" xfId="0" applyFont="1" applyFill="1" applyAlignment="1">
      <alignment horizontal="left"/>
    </xf>
    <xf numFmtId="0" fontId="3" fillId="7" borderId="0" xfId="0" applyFont="1" applyFill="1" applyAlignment="1">
      <alignment horizontal="left" vertical="center" wrapText="1"/>
    </xf>
    <xf numFmtId="0" fontId="3" fillId="7" borderId="0" xfId="0" applyFont="1" applyFill="1" applyAlignment="1">
      <alignment vertical="center"/>
    </xf>
    <xf numFmtId="0" fontId="3" fillId="7" borderId="0" xfId="0" applyFont="1" applyFill="1" applyAlignment="1">
      <alignment horizontal="left" vertical="center"/>
    </xf>
    <xf numFmtId="0" fontId="8" fillId="8" borderId="0" xfId="0" applyFont="1" applyFill="1" applyAlignment="1">
      <alignment vertical="center"/>
    </xf>
    <xf numFmtId="0" fontId="8" fillId="8" borderId="0" xfId="0" applyFont="1" applyFill="1" applyAlignment="1">
      <alignment horizontal="left" vertical="center"/>
    </xf>
    <xf numFmtId="0" fontId="8" fillId="8" borderId="0" xfId="0" applyFont="1" applyFill="1" applyAlignment="1">
      <alignment horizontal="left" vertical="center" wrapText="1"/>
    </xf>
    <xf numFmtId="0" fontId="8" fillId="8" borderId="0" xfId="0" applyFont="1" applyFill="1" applyAlignment="1">
      <alignment horizontal="center" vertical="center"/>
    </xf>
    <xf numFmtId="0" fontId="10" fillId="8" borderId="0" xfId="0" applyFont="1" applyFill="1" applyAlignment="1">
      <alignment vertical="center"/>
    </xf>
    <xf numFmtId="0" fontId="10" fillId="8" borderId="0" xfId="0" applyFont="1" applyFill="1" applyAlignment="1">
      <alignment horizontal="left" vertical="center"/>
    </xf>
    <xf numFmtId="0" fontId="10" fillId="8" borderId="0" xfId="0" applyFont="1" applyFill="1" applyAlignment="1">
      <alignment horizontal="left" vertical="center" wrapText="1"/>
    </xf>
    <xf numFmtId="0" fontId="0" fillId="8" borderId="4" xfId="0" applyFill="1" applyBorder="1" applyAlignment="1">
      <alignment horizontal="left" vertical="center" wrapText="1"/>
    </xf>
    <xf numFmtId="166" fontId="2" fillId="8" borderId="0" xfId="2" applyNumberFormat="1" applyFill="1" applyBorder="1" applyAlignment="1">
      <alignment horizontal="center" vertical="center"/>
    </xf>
    <xf numFmtId="0" fontId="0" fillId="8" borderId="7" xfId="0" applyFill="1" applyBorder="1" applyAlignment="1">
      <alignment horizontal="right" vertical="center" wrapText="1"/>
    </xf>
    <xf numFmtId="0" fontId="6" fillId="8" borderId="8" xfId="0" applyFont="1" applyFill="1" applyBorder="1" applyAlignment="1">
      <alignment horizontal="left" vertical="center" wrapText="1"/>
    </xf>
    <xf numFmtId="166" fontId="2" fillId="3" borderId="2" xfId="2" applyNumberFormat="1" applyAlignment="1">
      <alignment horizontal="center" vertical="center"/>
    </xf>
    <xf numFmtId="0" fontId="6" fillId="8" borderId="0" xfId="0" applyFont="1" applyFill="1" applyAlignment="1">
      <alignment vertical="center"/>
    </xf>
    <xf numFmtId="0" fontId="0" fillId="8" borderId="0" xfId="0" applyFill="1" applyAlignment="1">
      <alignment horizontal="right" vertical="center" wrapText="1"/>
    </xf>
    <xf numFmtId="0" fontId="0" fillId="8" borderId="8" xfId="0" applyFill="1" applyBorder="1" applyAlignment="1">
      <alignment horizontal="left" vertical="center" wrapText="1"/>
    </xf>
    <xf numFmtId="0" fontId="6" fillId="8" borderId="0" xfId="0" applyFont="1" applyFill="1" applyAlignment="1">
      <alignment horizontal="left" vertical="center" wrapText="1"/>
    </xf>
    <xf numFmtId="0" fontId="21" fillId="8" borderId="0" xfId="0" applyFont="1" applyFill="1" applyAlignment="1">
      <alignment horizontal="left" vertical="center"/>
    </xf>
    <xf numFmtId="0" fontId="6" fillId="8" borderId="0" xfId="0" applyFont="1" applyFill="1" applyAlignment="1">
      <alignment horizontal="left" vertical="center"/>
    </xf>
    <xf numFmtId="49" fontId="6" fillId="8" borderId="0" xfId="0" applyNumberFormat="1" applyFont="1" applyFill="1" applyAlignment="1">
      <alignment horizontal="left" vertical="center"/>
    </xf>
    <xf numFmtId="0" fontId="0" fillId="0" borderId="0" xfId="0" applyAlignment="1">
      <alignment horizontal="left"/>
    </xf>
    <xf numFmtId="0" fontId="0" fillId="0" borderId="0" xfId="0" applyAlignment="1">
      <alignment horizontal="left" wrapText="1"/>
    </xf>
    <xf numFmtId="0" fontId="16" fillId="4" borderId="0" xfId="18" applyFill="1" applyBorder="1"/>
    <xf numFmtId="0" fontId="20" fillId="9" borderId="0" xfId="19" applyFont="1" applyFill="1" applyAlignment="1">
      <alignment vertical="center"/>
    </xf>
    <xf numFmtId="0" fontId="41" fillId="4" borderId="0" xfId="22" applyFont="1" applyFill="1" applyBorder="1" applyAlignment="1">
      <alignment vertical="center"/>
    </xf>
    <xf numFmtId="0" fontId="15" fillId="4" borderId="0" xfId="0" applyFont="1" applyFill="1"/>
    <xf numFmtId="0" fontId="9" fillId="4" borderId="0" xfId="0" applyFont="1" applyFill="1"/>
    <xf numFmtId="0" fontId="5" fillId="8" borderId="0" xfId="0" applyFont="1" applyFill="1" applyAlignment="1">
      <alignment vertical="center" wrapText="1"/>
    </xf>
    <xf numFmtId="0" fontId="6" fillId="8" borderId="0" xfId="0" applyFont="1" applyFill="1" applyAlignment="1">
      <alignment horizontal="center" vertical="center"/>
    </xf>
    <xf numFmtId="0" fontId="7" fillId="8" borderId="7" xfId="0" applyFont="1" applyFill="1" applyBorder="1" applyAlignment="1">
      <alignment vertical="center" wrapText="1"/>
    </xf>
    <xf numFmtId="0" fontId="0" fillId="8" borderId="7" xfId="0" applyFill="1" applyBorder="1" applyAlignment="1">
      <alignment vertical="center" wrapText="1"/>
    </xf>
    <xf numFmtId="0" fontId="0" fillId="8" borderId="7" xfId="0" applyFill="1" applyBorder="1" applyAlignment="1">
      <alignment horizontal="left" vertical="center"/>
    </xf>
    <xf numFmtId="0" fontId="0" fillId="8" borderId="7" xfId="0" applyFill="1" applyBorder="1" applyAlignment="1">
      <alignment horizontal="center" vertical="center"/>
    </xf>
    <xf numFmtId="0" fontId="0" fillId="8" borderId="4" xfId="0" applyFill="1" applyBorder="1" applyAlignment="1">
      <alignment vertical="center" wrapText="1"/>
    </xf>
    <xf numFmtId="0" fontId="0" fillId="8" borderId="4" xfId="0" applyFill="1" applyBorder="1" applyAlignment="1">
      <alignment horizontal="left" vertical="center"/>
    </xf>
    <xf numFmtId="0" fontId="0" fillId="8" borderId="4" xfId="0" applyFill="1" applyBorder="1" applyAlignment="1">
      <alignment horizontal="center" vertical="center"/>
    </xf>
    <xf numFmtId="0" fontId="7" fillId="8" borderId="0" xfId="0" applyFont="1" applyFill="1" applyAlignment="1">
      <alignment vertical="center" wrapText="1"/>
    </xf>
    <xf numFmtId="0" fontId="21" fillId="8" borderId="0" xfId="0" applyFont="1" applyFill="1" applyAlignment="1">
      <alignment vertical="center"/>
    </xf>
    <xf numFmtId="0" fontId="28" fillId="4" borderId="0" xfId="0" applyFont="1" applyFill="1"/>
    <xf numFmtId="0" fontId="6" fillId="4" borderId="0" xfId="0" applyFont="1" applyFill="1" applyAlignment="1">
      <alignment horizontal="left"/>
    </xf>
    <xf numFmtId="0" fontId="6" fillId="8" borderId="0" xfId="0" applyFont="1" applyFill="1" applyAlignment="1">
      <alignment vertical="center" wrapText="1"/>
    </xf>
    <xf numFmtId="11" fontId="6" fillId="8" borderId="0" xfId="0" applyNumberFormat="1" applyFont="1" applyFill="1" applyAlignment="1">
      <alignment horizontal="center" vertical="center"/>
    </xf>
    <xf numFmtId="0" fontId="58" fillId="8" borderId="0" xfId="0" applyFont="1" applyFill="1" applyAlignment="1">
      <alignment horizontal="left" vertical="center"/>
    </xf>
    <xf numFmtId="0" fontId="6" fillId="8" borderId="7" xfId="0" applyFont="1" applyFill="1" applyBorder="1" applyAlignment="1">
      <alignment horizontal="right" vertical="center" wrapText="1"/>
    </xf>
    <xf numFmtId="0" fontId="31" fillId="8" borderId="0" xfId="0" applyFont="1" applyFill="1" applyAlignment="1">
      <alignment horizontal="left" vertical="center"/>
    </xf>
    <xf numFmtId="0" fontId="6" fillId="8" borderId="0" xfId="0" applyFont="1" applyFill="1" applyAlignment="1">
      <alignment horizontal="right" vertical="center" wrapText="1"/>
    </xf>
    <xf numFmtId="11" fontId="2" fillId="3" borderId="2" xfId="2" applyNumberFormat="1" applyAlignment="1">
      <alignment horizontal="center" vertical="center"/>
    </xf>
    <xf numFmtId="0" fontId="6" fillId="4" borderId="0" xfId="19" applyFont="1" applyFill="1" applyAlignment="1">
      <alignment vertical="center"/>
    </xf>
    <xf numFmtId="0" fontId="6" fillId="8" borderId="0" xfId="0" applyFont="1" applyFill="1" applyAlignment="1">
      <alignment horizontal="left" vertical="center" wrapText="1"/>
    </xf>
    <xf numFmtId="0" fontId="44" fillId="8" borderId="0" xfId="0" applyFont="1" applyFill="1" applyBorder="1" applyAlignment="1" applyProtection="1">
      <alignment horizontal="left" vertical="center" wrapText="1"/>
      <protection locked="0"/>
    </xf>
    <xf numFmtId="0" fontId="5" fillId="8" borderId="0" xfId="0" applyFont="1" applyFill="1" applyAlignment="1">
      <alignment horizontal="left" vertical="center" wrapText="1"/>
    </xf>
    <xf numFmtId="0" fontId="0" fillId="8" borderId="0" xfId="0" applyFill="1" applyBorder="1" applyAlignment="1">
      <alignment horizontal="left" vertical="center"/>
    </xf>
    <xf numFmtId="0" fontId="35" fillId="8" borderId="0" xfId="0" applyFont="1" applyFill="1" applyAlignment="1">
      <alignment vertical="center" wrapText="1"/>
    </xf>
    <xf numFmtId="0" fontId="3" fillId="4" borderId="0" xfId="0" applyFont="1" applyFill="1" applyBorder="1" applyAlignment="1" applyProtection="1">
      <alignment horizontal="left" vertical="center"/>
      <protection locked="0"/>
    </xf>
    <xf numFmtId="2" fontId="0" fillId="4" borderId="0" xfId="0" applyNumberFormat="1" applyFill="1" applyBorder="1" applyAlignment="1" applyProtection="1">
      <alignment vertical="center"/>
      <protection locked="0"/>
    </xf>
    <xf numFmtId="2" fontId="6" fillId="4" borderId="0" xfId="0" applyNumberFormat="1" applyFont="1" applyFill="1" applyBorder="1" applyAlignment="1" applyProtection="1">
      <alignment vertical="center"/>
      <protection locked="0"/>
    </xf>
    <xf numFmtId="0" fontId="0" fillId="8" borderId="8" xfId="0" applyFont="1" applyFill="1" applyBorder="1" applyAlignment="1" applyProtection="1">
      <alignment horizontal="left" vertical="center"/>
      <protection locked="0"/>
    </xf>
    <xf numFmtId="0" fontId="0" fillId="8" borderId="8" xfId="0" applyFont="1" applyFill="1" applyBorder="1" applyAlignment="1" applyProtection="1">
      <alignment horizontal="left" vertical="center" indent="3"/>
      <protection locked="0"/>
    </xf>
    <xf numFmtId="0" fontId="6" fillId="8" borderId="8" xfId="0" applyFont="1" applyFill="1" applyBorder="1" applyAlignment="1" applyProtection="1">
      <alignment horizontal="left" vertical="center"/>
      <protection locked="0"/>
    </xf>
    <xf numFmtId="0" fontId="0" fillId="8" borderId="8" xfId="0" applyFill="1" applyBorder="1" applyAlignment="1" applyProtection="1">
      <alignment horizontal="left" vertical="center"/>
      <protection locked="0"/>
    </xf>
    <xf numFmtId="0" fontId="0" fillId="8" borderId="8" xfId="0" applyFill="1" applyBorder="1" applyAlignment="1" applyProtection="1">
      <alignment horizontal="left" vertical="center" indent="3"/>
      <protection locked="0"/>
    </xf>
    <xf numFmtId="0" fontId="0" fillId="8" borderId="8" xfId="0" applyFont="1" applyFill="1" applyBorder="1" applyAlignment="1" applyProtection="1">
      <alignment vertical="center"/>
      <protection locked="0"/>
    </xf>
    <xf numFmtId="0" fontId="0" fillId="8" borderId="8" xfId="0" applyFill="1" applyBorder="1" applyAlignment="1" applyProtection="1">
      <alignment horizontal="left" vertical="center" wrapText="1" indent="3"/>
      <protection locked="0"/>
    </xf>
    <xf numFmtId="0" fontId="6" fillId="8" borderId="0" xfId="0" applyFont="1" applyFill="1" applyBorder="1" applyAlignment="1">
      <alignment horizontal="left" vertical="center"/>
    </xf>
    <xf numFmtId="0" fontId="38" fillId="9" borderId="0" xfId="19" applyFont="1" applyFill="1" applyBorder="1" applyAlignment="1" applyProtection="1">
      <alignment horizontal="left" vertical="center" wrapText="1"/>
      <protection locked="0"/>
    </xf>
    <xf numFmtId="0" fontId="44" fillId="8" borderId="0" xfId="0" applyFont="1" applyFill="1" applyBorder="1" applyAlignment="1" applyProtection="1">
      <alignment horizontal="left" vertical="center" wrapText="1"/>
      <protection locked="0"/>
    </xf>
    <xf numFmtId="0" fontId="6" fillId="8" borderId="0" xfId="0" applyFont="1" applyFill="1" applyAlignment="1" applyProtection="1">
      <alignment vertical="center" wrapText="1"/>
      <protection locked="0"/>
    </xf>
    <xf numFmtId="0" fontId="38" fillId="9" borderId="0" xfId="19" applyFont="1" applyFill="1" applyBorder="1" applyAlignment="1" applyProtection="1">
      <alignment horizontal="left" vertical="center" wrapText="1"/>
      <protection locked="0"/>
    </xf>
    <xf numFmtId="0" fontId="0" fillId="8" borderId="0" xfId="0" applyFill="1" applyAlignment="1">
      <alignment horizontal="left" vertical="center" wrapText="1"/>
    </xf>
    <xf numFmtId="0" fontId="60" fillId="4" borderId="0" xfId="21" applyFont="1" applyFill="1" applyBorder="1"/>
    <xf numFmtId="0" fontId="60" fillId="4" borderId="0" xfId="21" applyFont="1" applyFill="1" applyBorder="1"/>
    <xf numFmtId="0" fontId="45" fillId="4" borderId="0" xfId="0" applyFont="1" applyFill="1" applyBorder="1" applyAlignment="1" applyProtection="1">
      <alignment vertical="center"/>
      <protection locked="0"/>
    </xf>
    <xf numFmtId="0" fontId="59" fillId="4" borderId="0" xfId="0" applyFont="1" applyFill="1" applyBorder="1" applyAlignment="1" applyProtection="1">
      <alignment vertical="center"/>
      <protection locked="0"/>
    </xf>
    <xf numFmtId="0" fontId="0" fillId="8" borderId="0" xfId="0" applyFill="1" applyBorder="1" applyAlignment="1">
      <alignment horizontal="center" vertical="center"/>
    </xf>
    <xf numFmtId="2" fontId="0" fillId="8" borderId="13" xfId="0" applyNumberFormat="1" applyFill="1" applyBorder="1" applyAlignment="1" applyProtection="1">
      <alignment horizontal="center" vertical="center"/>
      <protection locked="0"/>
    </xf>
    <xf numFmtId="0" fontId="0" fillId="8" borderId="0" xfId="0" applyFont="1" applyFill="1" applyBorder="1" applyAlignment="1" applyProtection="1">
      <alignment horizontal="left" vertical="center" indent="3"/>
      <protection locked="0"/>
    </xf>
    <xf numFmtId="0" fontId="6" fillId="4" borderId="0" xfId="0" applyFont="1" applyFill="1" applyBorder="1" applyAlignment="1" applyProtection="1">
      <alignment horizontal="center" vertical="center"/>
      <protection locked="0"/>
    </xf>
    <xf numFmtId="0" fontId="5" fillId="13" borderId="0" xfId="0" applyFont="1" applyFill="1" applyAlignment="1">
      <alignment vertical="center"/>
    </xf>
    <xf numFmtId="0" fontId="6" fillId="8" borderId="0" xfId="0" applyFont="1" applyFill="1" applyAlignment="1">
      <alignment horizontal="left" vertical="center" wrapText="1"/>
    </xf>
    <xf numFmtId="2" fontId="31" fillId="3" borderId="2" xfId="2" applyNumberFormat="1" applyFont="1" applyAlignment="1" applyProtection="1">
      <alignment horizontal="center" vertical="center"/>
    </xf>
    <xf numFmtId="0" fontId="6" fillId="8" borderId="8" xfId="0" applyFont="1" applyFill="1" applyBorder="1" applyAlignment="1" applyProtection="1">
      <alignment horizontal="center" vertical="center"/>
      <protection locked="0"/>
    </xf>
    <xf numFmtId="0" fontId="5" fillId="13" borderId="0" xfId="0" applyFont="1" applyFill="1" applyBorder="1" applyAlignment="1">
      <alignment vertical="center"/>
    </xf>
    <xf numFmtId="0" fontId="7" fillId="13" borderId="0" xfId="0" applyFont="1" applyFill="1" applyBorder="1" applyAlignment="1">
      <alignment horizontal="center" vertical="center"/>
    </xf>
    <xf numFmtId="0" fontId="0" fillId="13" borderId="7" xfId="0" applyFill="1" applyBorder="1" applyAlignment="1">
      <alignment vertical="center"/>
    </xf>
    <xf numFmtId="0" fontId="0" fillId="13" borderId="7" xfId="0" applyFill="1" applyBorder="1" applyAlignment="1">
      <alignment horizontal="center" vertical="center"/>
    </xf>
    <xf numFmtId="0" fontId="0" fillId="13" borderId="0" xfId="0" applyFill="1" applyBorder="1" applyAlignment="1">
      <alignment vertical="center"/>
    </xf>
    <xf numFmtId="0" fontId="0" fillId="13" borderId="0" xfId="0" applyFill="1" applyBorder="1" applyAlignment="1">
      <alignment horizontal="center" vertical="center"/>
    </xf>
    <xf numFmtId="0" fontId="2" fillId="3" borderId="2" xfId="2" applyNumberFormat="1" applyAlignment="1" applyProtection="1">
      <alignment horizontal="center" vertical="center"/>
    </xf>
    <xf numFmtId="0" fontId="61" fillId="4" borderId="0" xfId="0" applyFont="1" applyFill="1" applyBorder="1" applyAlignment="1">
      <alignment vertical="center"/>
    </xf>
    <xf numFmtId="0" fontId="61" fillId="4" borderId="0" xfId="21" applyFont="1" applyFill="1" applyBorder="1" applyAlignment="1">
      <alignment vertical="center"/>
    </xf>
    <xf numFmtId="0" fontId="59" fillId="4" borderId="0" xfId="0" applyFont="1" applyFill="1" applyBorder="1" applyAlignment="1">
      <alignment vertical="center"/>
    </xf>
    <xf numFmtId="0" fontId="0" fillId="8" borderId="7" xfId="0" applyFill="1" applyBorder="1" applyAlignment="1" applyProtection="1">
      <alignment horizontal="center" vertical="center"/>
      <protection locked="0"/>
    </xf>
    <xf numFmtId="0" fontId="6" fillId="8" borderId="7" xfId="0" applyFont="1" applyFill="1" applyBorder="1" applyAlignment="1" applyProtection="1">
      <alignment vertical="center"/>
      <protection locked="0"/>
    </xf>
    <xf numFmtId="0" fontId="0" fillId="8" borderId="7" xfId="0" applyFill="1" applyBorder="1" applyAlignment="1" applyProtection="1">
      <alignment vertical="center"/>
      <protection locked="0"/>
    </xf>
    <xf numFmtId="0" fontId="18" fillId="8" borderId="0" xfId="0" applyFont="1" applyFill="1" applyBorder="1" applyAlignment="1" applyProtection="1">
      <alignment vertical="center" wrapText="1"/>
      <protection locked="0"/>
    </xf>
    <xf numFmtId="0" fontId="62" fillId="8" borderId="0" xfId="0" applyFont="1" applyFill="1" applyBorder="1" applyAlignment="1" applyProtection="1">
      <alignment vertical="center" wrapText="1"/>
      <protection locked="0"/>
    </xf>
    <xf numFmtId="0" fontId="6" fillId="8" borderId="0" xfId="0" applyFont="1" applyFill="1" applyBorder="1" applyAlignment="1" applyProtection="1">
      <alignment horizontal="left" vertical="center" wrapText="1" indent="2"/>
      <protection locked="0"/>
    </xf>
    <xf numFmtId="0" fontId="0" fillId="8" borderId="0" xfId="0" applyFill="1" applyBorder="1" applyAlignment="1" applyProtection="1">
      <alignment horizontal="left" vertical="center" wrapText="1" indent="2"/>
      <protection locked="0"/>
    </xf>
    <xf numFmtId="0" fontId="4" fillId="8" borderId="0" xfId="0" applyFont="1" applyFill="1" applyAlignment="1" applyProtection="1">
      <alignment vertical="center" wrapText="1"/>
      <protection locked="0"/>
    </xf>
    <xf numFmtId="0" fontId="64" fillId="8" borderId="0" xfId="0" applyFont="1" applyFill="1" applyBorder="1" applyAlignment="1" applyProtection="1">
      <alignment horizontal="center" vertical="center"/>
      <protection locked="0"/>
    </xf>
    <xf numFmtId="0" fontId="33" fillId="8" borderId="0" xfId="0" applyFont="1" applyFill="1" applyAlignment="1" applyProtection="1">
      <alignment vertical="center"/>
      <protection locked="0"/>
    </xf>
    <xf numFmtId="0" fontId="0" fillId="8" borderId="0" xfId="0" applyFill="1" applyAlignment="1" applyProtection="1">
      <alignment horizontal="center" vertical="center"/>
      <protection locked="0"/>
    </xf>
    <xf numFmtId="0" fontId="0" fillId="8" borderId="17"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19" xfId="0" applyFill="1" applyBorder="1" applyAlignment="1" applyProtection="1">
      <alignment vertical="center" wrapText="1"/>
      <protection locked="0"/>
    </xf>
    <xf numFmtId="0" fontId="0" fillId="8" borderId="19" xfId="0" applyFill="1" applyBorder="1" applyAlignment="1" applyProtection="1">
      <alignment vertical="center"/>
      <protection locked="0"/>
    </xf>
    <xf numFmtId="0" fontId="0" fillId="8" borderId="20" xfId="0" applyFill="1" applyBorder="1" applyAlignment="1" applyProtection="1">
      <alignment vertical="center"/>
      <protection locked="0"/>
    </xf>
    <xf numFmtId="0" fontId="35" fillId="8" borderId="21" xfId="0" applyFont="1" applyFill="1" applyBorder="1" applyAlignment="1" applyProtection="1">
      <alignment vertical="center"/>
      <protection locked="0"/>
    </xf>
    <xf numFmtId="0" fontId="0" fillId="8" borderId="21" xfId="0" applyFill="1" applyBorder="1" applyAlignment="1" applyProtection="1">
      <alignment vertical="center"/>
      <protection locked="0"/>
    </xf>
    <xf numFmtId="0" fontId="2" fillId="3" borderId="2" xfId="2" applyBorder="1" applyAlignment="1" applyProtection="1">
      <alignment horizontal="center" vertical="center"/>
    </xf>
    <xf numFmtId="0" fontId="0" fillId="8" borderId="17" xfId="0" applyFill="1" applyBorder="1" applyAlignment="1" applyProtection="1">
      <alignment horizontal="left" vertical="center" wrapText="1"/>
      <protection locked="0"/>
    </xf>
    <xf numFmtId="0" fontId="6" fillId="8" borderId="17" xfId="0" applyFont="1" applyFill="1" applyBorder="1" applyAlignment="1" applyProtection="1">
      <alignment vertical="center" wrapText="1"/>
      <protection locked="0"/>
    </xf>
    <xf numFmtId="0" fontId="6" fillId="8" borderId="22" xfId="0" applyFont="1" applyFill="1" applyBorder="1" applyAlignment="1" applyProtection="1">
      <alignment vertical="center" wrapText="1"/>
      <protection locked="0"/>
    </xf>
    <xf numFmtId="0" fontId="6" fillId="8" borderId="23" xfId="0" applyFont="1" applyFill="1" applyBorder="1" applyAlignment="1" applyProtection="1">
      <alignment horizontal="left" vertical="center"/>
      <protection locked="0"/>
    </xf>
    <xf numFmtId="0" fontId="6" fillId="8" borderId="23" xfId="0" applyFont="1" applyFill="1" applyBorder="1" applyAlignment="1" applyProtection="1">
      <alignment vertical="center" wrapText="1"/>
      <protection locked="0"/>
    </xf>
    <xf numFmtId="0" fontId="6" fillId="8" borderId="23"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35" fillId="8" borderId="24" xfId="0" applyFont="1" applyFill="1" applyBorder="1" applyAlignment="1" applyProtection="1">
      <alignment vertical="center"/>
      <protection locked="0"/>
    </xf>
    <xf numFmtId="0" fontId="10" fillId="8" borderId="0" xfId="0" applyFont="1" applyFill="1" applyAlignment="1" applyProtection="1">
      <alignment vertical="center"/>
      <protection locked="0"/>
    </xf>
    <xf numFmtId="0" fontId="0" fillId="8" borderId="0" xfId="0" applyFill="1" applyAlignment="1" applyProtection="1">
      <alignment horizontal="left" vertical="center" wrapText="1"/>
      <protection locked="0"/>
    </xf>
    <xf numFmtId="0" fontId="6" fillId="8" borderId="0" xfId="0" applyFont="1" applyFill="1" applyAlignment="1" applyProtection="1">
      <alignment horizontal="left" vertical="center" wrapText="1"/>
      <protection locked="0"/>
    </xf>
    <xf numFmtId="0" fontId="10" fillId="8" borderId="0" xfId="0" applyFont="1" applyFill="1" applyAlignment="1" applyProtection="1">
      <alignment vertical="center" wrapText="1"/>
      <protection locked="0"/>
    </xf>
    <xf numFmtId="0" fontId="31" fillId="8" borderId="0" xfId="0" applyFont="1" applyFill="1" applyAlignment="1" applyProtection="1">
      <alignment vertical="center" wrapText="1"/>
      <protection locked="0"/>
    </xf>
    <xf numFmtId="0" fontId="49" fillId="8" borderId="0" xfId="0" applyFont="1" applyFill="1" applyAlignment="1" applyProtection="1">
      <alignment horizontal="left" vertical="center" wrapText="1"/>
      <protection locked="0"/>
    </xf>
    <xf numFmtId="0" fontId="0" fillId="8" borderId="0" xfId="0" applyFill="1" applyAlignment="1" applyProtection="1">
      <alignment vertical="center" wrapText="1"/>
      <protection locked="0"/>
    </xf>
    <xf numFmtId="0" fontId="55" fillId="8" borderId="0" xfId="0" applyFont="1" applyFill="1" applyAlignment="1" applyProtection="1">
      <alignment vertical="center"/>
      <protection locked="0"/>
    </xf>
    <xf numFmtId="0" fontId="6" fillId="10" borderId="6" xfId="0" applyFont="1" applyFill="1" applyBorder="1" applyAlignment="1">
      <alignment horizontal="center" vertical="center"/>
    </xf>
    <xf numFmtId="0" fontId="9" fillId="4" borderId="0" xfId="0" applyFont="1" applyFill="1" applyAlignment="1" applyProtection="1">
      <alignment vertical="center"/>
      <protection locked="0"/>
    </xf>
    <xf numFmtId="0" fontId="6" fillId="8" borderId="0" xfId="0" applyFont="1" applyFill="1" applyAlignment="1">
      <alignment horizontal="left"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0" fillId="8" borderId="4" xfId="0" applyFill="1" applyBorder="1" applyAlignment="1" applyProtection="1">
      <alignment horizontal="left" vertical="center" wrapText="1"/>
      <protection locked="0"/>
    </xf>
    <xf numFmtId="0" fontId="0" fillId="10" borderId="6" xfId="0" applyFont="1" applyFill="1" applyBorder="1" applyAlignment="1">
      <alignment horizontal="center" vertical="center"/>
    </xf>
    <xf numFmtId="0" fontId="28" fillId="10" borderId="6" xfId="0" applyFont="1" applyFill="1" applyBorder="1" applyAlignment="1">
      <alignment horizontal="center" vertical="center" wrapText="1"/>
    </xf>
    <xf numFmtId="0" fontId="28" fillId="10" borderId="6" xfId="0" applyFont="1" applyFill="1" applyBorder="1" applyAlignment="1">
      <alignment horizontal="center" vertical="center"/>
    </xf>
    <xf numFmtId="0" fontId="69" fillId="4" borderId="0" xfId="0" applyFont="1" applyFill="1" applyAlignment="1">
      <alignment vertical="center"/>
    </xf>
    <xf numFmtId="0" fontId="0" fillId="4" borderId="0" xfId="0" applyFill="1" applyAlignment="1">
      <alignment horizontal="center" vertical="center"/>
    </xf>
    <xf numFmtId="0" fontId="4" fillId="8" borderId="0" xfId="0" applyFont="1" applyFill="1" applyAlignment="1" applyProtection="1">
      <alignment horizontal="left" vertical="top" wrapText="1"/>
      <protection locked="0"/>
    </xf>
    <xf numFmtId="0" fontId="5" fillId="8" borderId="17" xfId="0" applyFont="1" applyFill="1" applyBorder="1" applyAlignment="1" applyProtection="1">
      <alignment vertical="top"/>
      <protection locked="0"/>
    </xf>
    <xf numFmtId="0" fontId="4" fillId="8" borderId="0" xfId="0" applyFont="1" applyFill="1" applyAlignment="1" applyProtection="1">
      <alignment horizontal="left" vertical="center" wrapText="1"/>
      <protection locked="0"/>
    </xf>
    <xf numFmtId="0" fontId="6" fillId="4" borderId="6" xfId="0" applyFont="1" applyFill="1" applyBorder="1" applyAlignment="1">
      <alignment horizontal="center" vertical="center"/>
    </xf>
    <xf numFmtId="0" fontId="28" fillId="13" borderId="0" xfId="0" applyFont="1" applyFill="1" applyBorder="1" applyAlignment="1">
      <alignment horizontal="center" vertical="center" wrapText="1"/>
    </xf>
    <xf numFmtId="0" fontId="28" fillId="13" borderId="0" xfId="0" applyFont="1" applyFill="1" applyBorder="1" applyAlignment="1">
      <alignment horizontal="center" vertical="center"/>
    </xf>
    <xf numFmtId="0" fontId="28" fillId="13" borderId="8" xfId="0" applyFont="1" applyFill="1" applyBorder="1" applyAlignment="1">
      <alignment horizontal="center" vertical="center"/>
    </xf>
    <xf numFmtId="0" fontId="6" fillId="13" borderId="8" xfId="0" applyFont="1" applyFill="1" applyBorder="1" applyAlignment="1">
      <alignment horizontal="center" vertical="center"/>
    </xf>
    <xf numFmtId="0" fontId="71" fillId="13" borderId="4" xfId="0" applyFont="1" applyFill="1" applyBorder="1" applyAlignment="1">
      <alignment horizontal="center" vertical="center" wrapText="1"/>
    </xf>
    <xf numFmtId="0" fontId="28" fillId="11" borderId="7" xfId="0" applyFont="1" applyFill="1" applyBorder="1" applyAlignment="1">
      <alignment horizontal="center" vertical="center" wrapText="1"/>
    </xf>
    <xf numFmtId="0" fontId="28" fillId="11" borderId="7" xfId="0" applyFont="1" applyFill="1" applyBorder="1" applyAlignment="1">
      <alignment horizontal="center" vertical="center"/>
    </xf>
    <xf numFmtId="0" fontId="7" fillId="11" borderId="0" xfId="0" applyFont="1" applyFill="1" applyBorder="1" applyAlignment="1">
      <alignment horizontal="center" vertical="center" wrapText="1"/>
    </xf>
    <xf numFmtId="0" fontId="7" fillId="11" borderId="0" xfId="0" applyFont="1" applyFill="1" applyBorder="1" applyAlignment="1">
      <alignment horizontal="center" vertical="center"/>
    </xf>
    <xf numFmtId="0" fontId="7" fillId="11" borderId="8" xfId="0" applyFont="1" applyFill="1" applyBorder="1" applyAlignment="1">
      <alignment horizontal="center" vertical="center"/>
    </xf>
    <xf numFmtId="0" fontId="0" fillId="11" borderId="8" xfId="0" applyFont="1" applyFill="1" applyBorder="1" applyAlignment="1">
      <alignment horizontal="center" vertical="center"/>
    </xf>
    <xf numFmtId="0" fontId="7" fillId="10" borderId="0" xfId="0" applyFont="1" applyFill="1" applyBorder="1" applyAlignment="1">
      <alignment vertical="center" wrapText="1"/>
    </xf>
    <xf numFmtId="0" fontId="7" fillId="5" borderId="0" xfId="0" applyFont="1" applyFill="1" applyBorder="1" applyAlignment="1">
      <alignment vertical="center" wrapText="1"/>
    </xf>
    <xf numFmtId="0" fontId="31" fillId="10" borderId="0" xfId="0" applyFont="1" applyFill="1" applyBorder="1" applyAlignment="1">
      <alignment horizontal="center" vertical="center"/>
    </xf>
    <xf numFmtId="0" fontId="6" fillId="11" borderId="4" xfId="0" applyFont="1" applyFill="1" applyBorder="1" applyAlignment="1">
      <alignment horizontal="center" vertical="center"/>
    </xf>
    <xf numFmtId="0" fontId="28" fillId="13" borderId="7" xfId="0" applyFont="1" applyFill="1" applyBorder="1" applyAlignment="1">
      <alignment horizontal="center" vertical="center" wrapText="1"/>
    </xf>
    <xf numFmtId="0" fontId="6" fillId="13" borderId="4" xfId="0" applyFont="1" applyFill="1" applyBorder="1" applyAlignment="1">
      <alignment horizontal="center" vertical="center"/>
    </xf>
    <xf numFmtId="0" fontId="7" fillId="11" borderId="7" xfId="0" applyFont="1" applyFill="1" applyBorder="1" applyAlignment="1">
      <alignment horizontal="center" vertical="center"/>
    </xf>
    <xf numFmtId="0" fontId="0" fillId="11" borderId="4" xfId="0" applyFont="1" applyFill="1" applyBorder="1" applyAlignment="1">
      <alignment horizontal="center" vertical="center"/>
    </xf>
    <xf numFmtId="0" fontId="71" fillId="11" borderId="25" xfId="0" applyFont="1" applyFill="1" applyBorder="1" applyAlignment="1">
      <alignment vertical="center"/>
    </xf>
    <xf numFmtId="0" fontId="24" fillId="11" borderId="25" xfId="0" applyFont="1" applyFill="1" applyBorder="1" applyAlignment="1">
      <alignment vertical="center"/>
    </xf>
    <xf numFmtId="0" fontId="7" fillId="11" borderId="25" xfId="0" applyFont="1" applyFill="1" applyBorder="1" applyAlignment="1">
      <alignment vertical="center"/>
    </xf>
    <xf numFmtId="0" fontId="7" fillId="11" borderId="9" xfId="0" applyFont="1" applyFill="1" applyBorder="1" applyAlignment="1">
      <alignment vertical="center"/>
    </xf>
    <xf numFmtId="0" fontId="0" fillId="11" borderId="9" xfId="0" applyFont="1" applyFill="1" applyBorder="1" applyAlignment="1">
      <alignment vertical="center"/>
    </xf>
    <xf numFmtId="0" fontId="71" fillId="11" borderId="4" xfId="0" applyFont="1" applyFill="1" applyBorder="1" applyAlignment="1">
      <alignment horizontal="center" vertical="center" wrapText="1"/>
    </xf>
    <xf numFmtId="0" fontId="7" fillId="11" borderId="0" xfId="0" applyFont="1" applyFill="1" applyBorder="1" applyAlignment="1">
      <alignment vertical="center" wrapText="1"/>
    </xf>
    <xf numFmtId="0" fontId="0" fillId="11" borderId="8" xfId="0" applyFill="1" applyBorder="1" applyAlignment="1">
      <alignment horizontal="center" vertical="center"/>
    </xf>
    <xf numFmtId="0" fontId="7" fillId="11" borderId="7" xfId="0" applyFont="1" applyFill="1" applyBorder="1" applyAlignment="1">
      <alignment horizontal="center" vertical="center" wrapText="1"/>
    </xf>
    <xf numFmtId="0" fontId="72" fillId="10" borderId="4" xfId="0" applyFont="1" applyFill="1" applyBorder="1" applyAlignment="1">
      <alignment horizontal="center" vertical="center"/>
    </xf>
    <xf numFmtId="0" fontId="38" fillId="9" borderId="0" xfId="19" applyFont="1" applyFill="1" applyBorder="1" applyAlignment="1" applyProtection="1">
      <alignment horizontal="left" vertical="center" wrapText="1"/>
      <protection locked="0"/>
    </xf>
    <xf numFmtId="0" fontId="60" fillId="4" borderId="0" xfId="21" applyFont="1" applyFill="1" applyBorder="1"/>
    <xf numFmtId="0" fontId="6" fillId="4" borderId="0" xfId="0" applyFont="1" applyFill="1" applyAlignment="1" applyProtection="1">
      <alignment horizontal="left" vertical="center" wrapText="1"/>
      <protection locked="0"/>
    </xf>
    <xf numFmtId="0" fontId="31" fillId="4" borderId="0" xfId="0" applyFont="1" applyFill="1" applyAlignment="1" applyProtection="1">
      <alignment vertical="center"/>
      <protection locked="0"/>
    </xf>
    <xf numFmtId="0" fontId="6" fillId="4" borderId="0" xfId="0" quotePrefix="1" applyFont="1" applyFill="1" applyAlignment="1" applyProtection="1">
      <alignment vertical="center"/>
      <protection locked="0"/>
    </xf>
    <xf numFmtId="0" fontId="6" fillId="4" borderId="0" xfId="19" quotePrefix="1" applyFont="1" applyFill="1" applyAlignment="1">
      <alignment vertical="center"/>
    </xf>
    <xf numFmtId="0" fontId="0" fillId="8" borderId="18" xfId="0" applyFill="1" applyBorder="1" applyAlignment="1" applyProtection="1">
      <alignment horizontal="left" vertical="center"/>
      <protection locked="0"/>
    </xf>
    <xf numFmtId="0" fontId="0" fillId="8" borderId="19" xfId="0" applyFill="1" applyBorder="1" applyAlignment="1" applyProtection="1">
      <alignment horizontal="left" vertical="center"/>
      <protection locked="0"/>
    </xf>
    <xf numFmtId="0" fontId="0" fillId="8" borderId="17" xfId="0" applyFill="1" applyBorder="1" applyAlignment="1" applyProtection="1">
      <alignment horizontal="left" vertical="center"/>
      <protection locked="0"/>
    </xf>
    <xf numFmtId="0" fontId="6" fillId="8" borderId="17" xfId="0" applyFont="1" applyFill="1" applyBorder="1" applyAlignment="1" applyProtection="1">
      <alignment horizontal="left" vertical="center"/>
      <protection locked="0"/>
    </xf>
    <xf numFmtId="0" fontId="0" fillId="8" borderId="22" xfId="0" applyFill="1" applyBorder="1" applyAlignment="1" applyProtection="1">
      <alignment horizontal="left" vertical="center"/>
      <protection locked="0"/>
    </xf>
    <xf numFmtId="0" fontId="0" fillId="8" borderId="23" xfId="0" applyFill="1" applyBorder="1" applyAlignment="1" applyProtection="1">
      <alignment horizontal="left" vertical="center"/>
      <protection locked="0"/>
    </xf>
    <xf numFmtId="0" fontId="0" fillId="8" borderId="19" xfId="0" applyFill="1" applyBorder="1" applyAlignment="1" applyProtection="1">
      <alignment horizontal="center" vertical="center"/>
      <protection locked="0"/>
    </xf>
    <xf numFmtId="0" fontId="11" fillId="6" borderId="26" xfId="3" applyBorder="1" applyAlignment="1" applyProtection="1">
      <alignment horizontal="center" vertical="center" wrapText="1"/>
      <protection locked="0"/>
    </xf>
    <xf numFmtId="0" fontId="6" fillId="9" borderId="27" xfId="1" applyFont="1"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6" fillId="9" borderId="28" xfId="1" applyFont="1"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2" fillId="3" borderId="29" xfId="2" applyBorder="1" applyAlignment="1" applyProtection="1">
      <alignment horizontal="center" vertical="center"/>
    </xf>
    <xf numFmtId="0" fontId="6" fillId="8" borderId="17" xfId="0" applyFont="1" applyFill="1" applyBorder="1" applyAlignment="1" applyProtection="1">
      <alignment vertical="top" wrapText="1"/>
      <protection locked="0"/>
    </xf>
    <xf numFmtId="0" fontId="0" fillId="8" borderId="17" xfId="0" applyFill="1" applyBorder="1" applyAlignment="1" applyProtection="1">
      <alignment vertical="top" wrapText="1"/>
      <protection locked="0"/>
    </xf>
    <xf numFmtId="0" fontId="0" fillId="8" borderId="17" xfId="0" applyFill="1" applyBorder="1" applyAlignment="1" applyProtection="1">
      <alignment horizontal="left" vertical="top" wrapText="1"/>
      <protection locked="0"/>
    </xf>
    <xf numFmtId="0" fontId="53" fillId="8" borderId="0" xfId="0" applyFont="1" applyFill="1" applyBorder="1" applyAlignment="1" applyProtection="1">
      <alignment vertical="top"/>
      <protection locked="0"/>
    </xf>
    <xf numFmtId="0" fontId="53" fillId="8" borderId="18" xfId="0" applyFont="1" applyFill="1" applyBorder="1" applyAlignment="1" applyProtection="1">
      <alignment vertical="top"/>
      <protection locked="0"/>
    </xf>
    <xf numFmtId="0" fontId="6" fillId="8" borderId="23" xfId="0" applyFont="1" applyFill="1" applyBorder="1" applyAlignment="1" applyProtection="1">
      <alignment vertical="center"/>
      <protection locked="0"/>
    </xf>
    <xf numFmtId="0" fontId="0" fillId="8" borderId="0" xfId="0" applyFill="1" applyBorder="1" applyAlignment="1" applyProtection="1">
      <alignment horizontal="center" vertical="center" wrapText="1"/>
      <protection locked="0"/>
    </xf>
    <xf numFmtId="0" fontId="10" fillId="8" borderId="4" xfId="0" applyFont="1" applyFill="1" applyBorder="1" applyAlignment="1" applyProtection="1">
      <alignment vertical="center"/>
      <protection locked="0"/>
    </xf>
    <xf numFmtId="0" fontId="31" fillId="8" borderId="16" xfId="0" applyFont="1" applyFill="1" applyBorder="1" applyAlignment="1" applyProtection="1">
      <alignment horizontal="center" vertical="center" wrapText="1"/>
      <protection locked="0"/>
    </xf>
    <xf numFmtId="0" fontId="31" fillId="8" borderId="6" xfId="0" applyFont="1" applyFill="1" applyBorder="1" applyAlignment="1" applyProtection="1">
      <alignment horizontal="center" vertical="center" wrapText="1"/>
      <protection locked="0"/>
    </xf>
    <xf numFmtId="0" fontId="31" fillId="8" borderId="7" xfId="0" applyFont="1" applyFill="1" applyBorder="1" applyAlignment="1" applyProtection="1">
      <alignment horizontal="center" vertical="center" wrapText="1"/>
      <protection locked="0"/>
    </xf>
    <xf numFmtId="0" fontId="0" fillId="8" borderId="4" xfId="0" applyFill="1" applyBorder="1" applyAlignment="1" applyProtection="1">
      <alignment horizontal="left" vertical="center"/>
      <protection locked="0"/>
    </xf>
    <xf numFmtId="11" fontId="6" fillId="9" borderId="6" xfId="1" applyNumberFormat="1" applyFont="1" applyFill="1" applyBorder="1" applyAlignment="1" applyProtection="1">
      <alignment horizontal="center" vertical="center"/>
      <protection locked="0"/>
    </xf>
    <xf numFmtId="11" fontId="31" fillId="3" borderId="12" xfId="2" applyNumberFormat="1" applyFont="1" applyBorder="1" applyAlignment="1" applyProtection="1">
      <alignment horizontal="center" vertical="center"/>
    </xf>
    <xf numFmtId="11" fontId="31" fillId="3" borderId="30" xfId="2" applyNumberFormat="1" applyFont="1" applyBorder="1" applyAlignment="1" applyProtection="1">
      <alignment horizontal="center" vertical="center"/>
    </xf>
    <xf numFmtId="2" fontId="31" fillId="8" borderId="14" xfId="2" applyNumberFormat="1" applyFont="1" applyFill="1" applyBorder="1" applyAlignment="1" applyProtection="1">
      <alignment horizontal="center" vertical="center"/>
      <protection locked="0"/>
    </xf>
    <xf numFmtId="164" fontId="28" fillId="8" borderId="15" xfId="0" applyNumberFormat="1" applyFont="1" applyFill="1" applyBorder="1" applyAlignment="1" applyProtection="1">
      <alignment vertical="center"/>
      <protection locked="0"/>
    </xf>
    <xf numFmtId="164" fontId="28" fillId="8" borderId="0" xfId="0" applyNumberFormat="1" applyFont="1" applyFill="1" applyBorder="1" applyAlignment="1" applyProtection="1">
      <alignment vertical="center"/>
      <protection locked="0"/>
    </xf>
    <xf numFmtId="0" fontId="28" fillId="8" borderId="15" xfId="0" applyFont="1" applyFill="1" applyBorder="1" applyAlignment="1" applyProtection="1">
      <alignment vertical="center"/>
      <protection locked="0"/>
    </xf>
    <xf numFmtId="0" fontId="28" fillId="8" borderId="13" xfId="0" applyFont="1" applyFill="1" applyBorder="1" applyAlignment="1" applyProtection="1">
      <alignment vertical="center"/>
      <protection locked="0"/>
    </xf>
    <xf numFmtId="11" fontId="31" fillId="3" borderId="2" xfId="2" applyNumberFormat="1" applyFont="1" applyBorder="1" applyAlignment="1" applyProtection="1">
      <alignment horizontal="center" vertical="center"/>
    </xf>
    <xf numFmtId="2" fontId="6" fillId="8" borderId="14" xfId="0" applyNumberFormat="1" applyFont="1" applyFill="1" applyBorder="1" applyAlignment="1" applyProtection="1">
      <alignment horizontal="center" vertical="center"/>
      <protection locked="0"/>
    </xf>
    <xf numFmtId="164" fontId="6" fillId="8" borderId="15" xfId="0" applyNumberFormat="1" applyFont="1" applyFill="1" applyBorder="1" applyAlignment="1" applyProtection="1">
      <alignment horizontal="left" vertical="center"/>
      <protection locked="0"/>
    </xf>
    <xf numFmtId="164" fontId="6" fillId="8" borderId="0" xfId="0" applyNumberFormat="1" applyFont="1" applyFill="1" applyBorder="1" applyAlignment="1" applyProtection="1">
      <alignment horizontal="left" vertical="center"/>
      <protection locked="0"/>
    </xf>
    <xf numFmtId="164" fontId="6" fillId="8" borderId="0" xfId="0" applyNumberFormat="1" applyFont="1" applyFill="1" applyBorder="1" applyAlignment="1" applyProtection="1">
      <alignment horizontal="left" vertical="center" wrapText="1"/>
      <protection locked="0"/>
    </xf>
    <xf numFmtId="0" fontId="6" fillId="8" borderId="15" xfId="0" applyFont="1" applyFill="1" applyBorder="1" applyAlignment="1" applyProtection="1">
      <alignment horizontal="left" vertical="center"/>
      <protection locked="0"/>
    </xf>
    <xf numFmtId="11" fontId="6" fillId="8" borderId="0" xfId="0" applyNumberFormat="1" applyFont="1" applyFill="1" applyBorder="1" applyAlignment="1" applyProtection="1">
      <alignment horizontal="center" vertical="center"/>
      <protection locked="0"/>
    </xf>
    <xf numFmtId="0" fontId="31" fillId="4" borderId="0" xfId="0" applyFont="1" applyFill="1"/>
    <xf numFmtId="0" fontId="31" fillId="4" borderId="0" xfId="0" applyFont="1" applyFill="1" applyBorder="1" applyAlignment="1" applyProtection="1">
      <alignment vertical="center"/>
      <protection locked="0"/>
    </xf>
    <xf numFmtId="0" fontId="5" fillId="8" borderId="18" xfId="0" applyFont="1" applyFill="1" applyBorder="1" applyAlignment="1">
      <alignment horizontal="left" vertical="center" wrapText="1"/>
    </xf>
    <xf numFmtId="0" fontId="44" fillId="8" borderId="19" xfId="0" applyFont="1" applyFill="1" applyBorder="1" applyAlignment="1" applyProtection="1">
      <alignment horizontal="left" vertical="center" wrapText="1"/>
      <protection locked="0"/>
    </xf>
    <xf numFmtId="0" fontId="31" fillId="8" borderId="0" xfId="0" applyFont="1" applyFill="1" applyBorder="1" applyAlignment="1" applyProtection="1">
      <alignment horizontal="center" vertical="center" textRotation="90" wrapText="1"/>
      <protection locked="0"/>
    </xf>
    <xf numFmtId="0" fontId="31" fillId="8" borderId="6" xfId="0" applyFont="1" applyFill="1" applyBorder="1" applyAlignment="1" applyProtection="1">
      <alignment horizontal="center" vertical="center" textRotation="90" wrapText="1"/>
      <protection locked="0"/>
    </xf>
    <xf numFmtId="0" fontId="0" fillId="8" borderId="0" xfId="0" applyFill="1" applyAlignment="1">
      <alignment horizontal="left" vertical="center" wrapText="1"/>
    </xf>
    <xf numFmtId="0" fontId="52" fillId="8" borderId="0" xfId="0" applyFont="1" applyFill="1" applyBorder="1" applyAlignment="1" applyProtection="1">
      <alignment vertical="center"/>
      <protection locked="0"/>
    </xf>
    <xf numFmtId="0" fontId="31" fillId="8" borderId="13" xfId="0" applyFont="1" applyFill="1" applyBorder="1" applyAlignment="1" applyProtection="1">
      <alignment horizontal="center" vertical="center" textRotation="90" wrapText="1"/>
      <protection locked="0"/>
    </xf>
    <xf numFmtId="0" fontId="0" fillId="8" borderId="0" xfId="0" applyFill="1" applyBorder="1" applyAlignment="1">
      <alignment horizontal="left" vertical="center" wrapText="1"/>
    </xf>
    <xf numFmtId="0" fontId="6" fillId="8" borderId="0" xfId="0" applyFont="1" applyFill="1" applyBorder="1" applyAlignment="1">
      <alignment horizontal="left" vertical="center" wrapText="1"/>
    </xf>
    <xf numFmtId="0" fontId="6" fillId="8" borderId="0" xfId="0" applyFont="1" applyFill="1"/>
    <xf numFmtId="0" fontId="4" fillId="8" borderId="0" xfId="0" applyFont="1" applyFill="1" applyAlignment="1">
      <alignment horizontal="left" vertical="center"/>
    </xf>
    <xf numFmtId="0" fontId="0" fillId="8" borderId="0" xfId="0" applyFill="1" applyAlignment="1">
      <alignment horizontal="left" vertical="center" wrapText="1"/>
    </xf>
    <xf numFmtId="0" fontId="6" fillId="4" borderId="0" xfId="0" quotePrefix="1" applyFont="1" applyFill="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12" fillId="4" borderId="0" xfId="21" quotePrefix="1" applyFill="1" applyBorder="1" applyAlignment="1">
      <alignment vertical="center"/>
    </xf>
    <xf numFmtId="0" fontId="6" fillId="4" borderId="0" xfId="0" quotePrefix="1" applyFont="1" applyFill="1" applyAlignment="1" applyProtection="1">
      <alignment horizontal="left" vertical="top"/>
      <protection locked="0"/>
    </xf>
    <xf numFmtId="0" fontId="6" fillId="4" borderId="0" xfId="0" applyFont="1" applyFill="1" applyAlignment="1" applyProtection="1">
      <alignment horizontal="left" vertical="top"/>
      <protection locked="0"/>
    </xf>
    <xf numFmtId="0" fontId="6" fillId="4" borderId="0" xfId="0" applyFont="1" applyFill="1" applyAlignment="1" applyProtection="1">
      <alignment vertical="top" wrapText="1"/>
      <protection locked="0"/>
    </xf>
    <xf numFmtId="0" fontId="5" fillId="8" borderId="0" xfId="0" applyFont="1" applyFill="1" applyAlignment="1">
      <alignment vertical="center"/>
    </xf>
    <xf numFmtId="0" fontId="44" fillId="4" borderId="0" xfId="0" applyFont="1" applyFill="1" applyAlignment="1">
      <alignment vertical="center"/>
    </xf>
    <xf numFmtId="0" fontId="6" fillId="8" borderId="0" xfId="0" applyFont="1" applyFill="1" applyAlignment="1">
      <alignment horizontal="left" vertical="center" wrapText="1"/>
    </xf>
    <xf numFmtId="0" fontId="5" fillId="8" borderId="0" xfId="0" applyFont="1" applyFill="1" applyBorder="1" applyAlignment="1" applyProtection="1">
      <alignment horizontal="right" vertical="center"/>
      <protection locked="0"/>
    </xf>
    <xf numFmtId="0" fontId="6" fillId="8" borderId="0" xfId="0" applyFont="1" applyFill="1" applyAlignment="1">
      <alignment horizontal="left" vertical="center" wrapText="1"/>
    </xf>
    <xf numFmtId="0" fontId="0" fillId="8" borderId="0" xfId="0" applyFill="1" applyAlignment="1">
      <alignment horizontal="left" vertical="center" wrapText="1"/>
    </xf>
    <xf numFmtId="166" fontId="31" fillId="3" borderId="2" xfId="2" applyNumberFormat="1" applyFont="1" applyAlignment="1">
      <alignment horizontal="center" vertical="center"/>
    </xf>
    <xf numFmtId="11" fontId="31" fillId="3" borderId="2" xfId="2" applyNumberFormat="1" applyFont="1" applyAlignment="1">
      <alignment horizontal="center" vertical="center"/>
    </xf>
    <xf numFmtId="14" fontId="6" fillId="4" borderId="0" xfId="0" applyNumberFormat="1" applyFont="1" applyFill="1" applyAlignment="1">
      <alignment vertical="center"/>
    </xf>
    <xf numFmtId="0" fontId="37" fillId="4" borderId="0" xfId="18" applyFont="1" applyFill="1" applyBorder="1" applyAlignment="1">
      <alignment horizontal="left" vertical="center" wrapText="1"/>
    </xf>
    <xf numFmtId="0" fontId="6" fillId="4" borderId="0" xfId="0" applyFont="1" applyFill="1" applyAlignment="1">
      <alignment horizontal="justify" vertical="center" wrapText="1"/>
    </xf>
    <xf numFmtId="0" fontId="6" fillId="4" borderId="0" xfId="0" quotePrefix="1" applyFont="1" applyFill="1" applyAlignment="1">
      <alignment horizontal="left" vertical="center" wrapText="1"/>
    </xf>
    <xf numFmtId="0" fontId="6" fillId="4" borderId="0" xfId="0" applyFont="1" applyFill="1" applyAlignment="1">
      <alignment horizontal="left" vertical="center" wrapText="1"/>
    </xf>
    <xf numFmtId="0" fontId="12" fillId="4" borderId="0" xfId="21" quotePrefix="1" applyFill="1" applyBorder="1" applyAlignment="1">
      <alignment horizontal="left" vertical="center"/>
    </xf>
    <xf numFmtId="0" fontId="52" fillId="8" borderId="0" xfId="0" applyFont="1" applyFill="1" applyBorder="1" applyAlignment="1" applyProtection="1">
      <alignment horizontal="left" vertical="center" wrapText="1"/>
      <protection locked="0"/>
    </xf>
    <xf numFmtId="0" fontId="37" fillId="4" borderId="0" xfId="18" applyFont="1" applyFill="1" applyBorder="1" applyAlignment="1" applyProtection="1">
      <alignment horizontal="left" vertical="center" wrapText="1"/>
      <protection locked="0"/>
    </xf>
    <xf numFmtId="0" fontId="38" fillId="9" borderId="0" xfId="19"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33" fillId="8" borderId="0" xfId="0" applyFont="1" applyFill="1" applyAlignment="1" applyProtection="1">
      <alignment horizontal="center" vertical="center"/>
      <protection locked="0"/>
    </xf>
    <xf numFmtId="0" fontId="60" fillId="4" borderId="0" xfId="21" applyFont="1" applyFill="1" applyBorder="1"/>
    <xf numFmtId="0" fontId="6" fillId="4" borderId="0" xfId="0" quotePrefix="1"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0" xfId="0" quotePrefix="1" applyFont="1" applyFill="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28" fillId="4" borderId="0" xfId="0" quotePrefix="1" applyFont="1" applyFill="1" applyAlignment="1" applyProtection="1">
      <alignment horizontal="left" vertical="center" wrapText="1"/>
      <protection locked="0"/>
    </xf>
    <xf numFmtId="0" fontId="28" fillId="4" borderId="0" xfId="0" applyFont="1" applyFill="1" applyAlignment="1" applyProtection="1">
      <alignment horizontal="left" vertical="center" wrapText="1"/>
      <protection locked="0"/>
    </xf>
    <xf numFmtId="0" fontId="6" fillId="4" borderId="0" xfId="0" quotePrefix="1" applyFont="1" applyFill="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0" fontId="41" fillId="4" borderId="0" xfId="0" applyFont="1" applyFill="1" applyBorder="1" applyAlignment="1" applyProtection="1">
      <alignment horizontal="left" vertical="center" wrapText="1"/>
      <protection locked="0"/>
    </xf>
    <xf numFmtId="0" fontId="58" fillId="8" borderId="0" xfId="0" applyFont="1" applyFill="1" applyAlignment="1">
      <alignment horizontal="left" vertical="center" wrapText="1"/>
    </xf>
    <xf numFmtId="0" fontId="6" fillId="8" borderId="4" xfId="0" applyFont="1" applyFill="1" applyBorder="1" applyAlignment="1">
      <alignment horizontal="left" vertical="center" wrapText="1"/>
    </xf>
    <xf numFmtId="0" fontId="6" fillId="8" borderId="0" xfId="0" applyFont="1" applyFill="1" applyAlignment="1">
      <alignment horizontal="left" vertical="center" wrapText="1"/>
    </xf>
    <xf numFmtId="0" fontId="41" fillId="4" borderId="0" xfId="22" applyFont="1" applyFill="1" applyBorder="1" applyAlignment="1">
      <alignment horizontal="left" vertical="center" wrapText="1"/>
    </xf>
    <xf numFmtId="0" fontId="0" fillId="8" borderId="0" xfId="0" applyFill="1" applyAlignment="1">
      <alignment horizontal="left" vertical="center" wrapText="1"/>
    </xf>
    <xf numFmtId="0" fontId="0" fillId="8" borderId="4" xfId="0" applyFill="1" applyBorder="1" applyAlignment="1">
      <alignment horizontal="left" vertical="center" wrapText="1"/>
    </xf>
    <xf numFmtId="0" fontId="24" fillId="8" borderId="0" xfId="0" applyFont="1" applyFill="1" applyAlignment="1">
      <alignment horizontal="left" vertical="center" wrapText="1"/>
    </xf>
    <xf numFmtId="0" fontId="0" fillId="8" borderId="0" xfId="0" applyFill="1" applyBorder="1" applyAlignment="1" applyProtection="1">
      <alignment horizontal="left" wrapText="1"/>
      <protection locked="0"/>
    </xf>
    <xf numFmtId="0" fontId="41" fillId="4" borderId="0" xfId="0" applyFont="1" applyFill="1" applyBorder="1" applyAlignment="1" applyProtection="1">
      <alignment horizontal="left" vertical="center"/>
      <protection locked="0"/>
    </xf>
    <xf numFmtId="0" fontId="6" fillId="4" borderId="0" xfId="0" applyFont="1" applyFill="1" applyAlignment="1">
      <alignment horizontal="left" vertical="top" wrapText="1"/>
    </xf>
    <xf numFmtId="0" fontId="4" fillId="4" borderId="0" xfId="0" applyFont="1" applyFill="1" applyBorder="1" applyAlignment="1">
      <alignment horizontal="left" vertical="top" wrapText="1"/>
    </xf>
    <xf numFmtId="0" fontId="71" fillId="11" borderId="4" xfId="0" applyFont="1" applyFill="1" applyBorder="1" applyAlignment="1">
      <alignment horizontal="center" vertical="center"/>
    </xf>
    <xf numFmtId="0" fontId="71" fillId="11" borderId="0" xfId="0" applyFont="1" applyFill="1" applyBorder="1" applyAlignment="1">
      <alignment horizontal="center" vertical="center"/>
    </xf>
    <xf numFmtId="0" fontId="11" fillId="6" borderId="3" xfId="3" applyAlignment="1" applyProtection="1">
      <alignment horizontal="center" vertical="center"/>
      <protection locked="0"/>
    </xf>
    <xf numFmtId="0" fontId="5" fillId="5" borderId="4" xfId="0" applyFont="1" applyFill="1" applyBorder="1"/>
    <xf numFmtId="0" fontId="7" fillId="5" borderId="0" xfId="0" applyFont="1" applyFill="1"/>
    <xf numFmtId="0" fontId="7" fillId="5" borderId="0" xfId="0" applyFont="1" applyFill="1" applyAlignment="1">
      <alignment horizontal="center"/>
    </xf>
    <xf numFmtId="0" fontId="0" fillId="5" borderId="0" xfId="0" applyFill="1"/>
    <xf numFmtId="0" fontId="0" fillId="5" borderId="0" xfId="0" applyFill="1" applyAlignment="1">
      <alignment horizontal="center"/>
    </xf>
  </cellXfs>
  <cellStyles count="24">
    <cellStyle name="Calculation" xfId="23"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1" builtinId="8"/>
    <cellStyle name="Input" xfId="1" builtinId="20"/>
    <cellStyle name="Normal" xfId="0" builtinId="0"/>
    <cellStyle name="Normal 2" xfId="19" xr:uid="{00000000-0005-0000-0000-000014000000}"/>
    <cellStyle name="Normal 2 2" xfId="20" xr:uid="{00000000-0005-0000-0000-000015000000}"/>
    <cellStyle name="Output" xfId="2" builtinId="21"/>
  </cellStyles>
  <dxfs count="7">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FFFF00"/>
      <color rgb="FFEFB011"/>
      <color rgb="FFD89E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619125</xdr:colOff>
      <xdr:row>1</xdr:row>
      <xdr:rowOff>38100</xdr:rowOff>
    </xdr:from>
    <xdr:to>
      <xdr:col>18</xdr:col>
      <xdr:colOff>643352</xdr:colOff>
      <xdr:row>2</xdr:row>
      <xdr:rowOff>33828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344150" y="2000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609600</xdr:colOff>
      <xdr:row>1</xdr:row>
      <xdr:rowOff>38100</xdr:rowOff>
    </xdr:from>
    <xdr:to>
      <xdr:col>18</xdr:col>
      <xdr:colOff>631922</xdr:colOff>
      <xdr:row>2</xdr:row>
      <xdr:rowOff>31923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334625" y="3619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5593070</xdr:colOff>
      <xdr:row>1</xdr:row>
      <xdr:rowOff>44991</xdr:rowOff>
    </xdr:from>
    <xdr:to>
      <xdr:col>6</xdr:col>
      <xdr:colOff>758424</xdr:colOff>
      <xdr:row>1</xdr:row>
      <xdr:rowOff>574740</xdr:rowOff>
    </xdr:to>
    <xdr:pic>
      <xdr:nvPicPr>
        <xdr:cNvPr id="2" name="Picture 1">
          <a:extLst>
            <a:ext uri="{FF2B5EF4-FFF2-40B4-BE49-F238E27FC236}">
              <a16:creationId xmlns:a16="http://schemas.microsoft.com/office/drawing/2014/main" id="{74A0AC90-0218-4FAD-8950-76758C2AB987}"/>
            </a:ext>
          </a:extLst>
        </xdr:cNvPr>
        <xdr:cNvPicPr>
          <a:picLocks noChangeAspect="1"/>
        </xdr:cNvPicPr>
      </xdr:nvPicPr>
      <xdr:blipFill>
        <a:blip xmlns:r="http://schemas.openxmlformats.org/officeDocument/2006/relationships" r:embed="rId1"/>
        <a:stretch>
          <a:fillRect/>
        </a:stretch>
      </xdr:blipFill>
      <xdr:spPr>
        <a:xfrm>
          <a:off x="12285335" y="203106"/>
          <a:ext cx="2112889" cy="53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2803525</xdr:colOff>
      <xdr:row>0</xdr:row>
      <xdr:rowOff>102658</xdr:rowOff>
    </xdr:from>
    <xdr:to>
      <xdr:col>7</xdr:col>
      <xdr:colOff>4835622</xdr:colOff>
      <xdr:row>3</xdr:row>
      <xdr:rowOff>155536</xdr:rowOff>
    </xdr:to>
    <xdr:pic>
      <xdr:nvPicPr>
        <xdr:cNvPr id="2" name="Picture 1">
          <a:extLst>
            <a:ext uri="{FF2B5EF4-FFF2-40B4-BE49-F238E27FC236}">
              <a16:creationId xmlns:a16="http://schemas.microsoft.com/office/drawing/2014/main" id="{72657241-0A03-48DD-BC32-A1DFB4525D3F}"/>
            </a:ext>
          </a:extLst>
        </xdr:cNvPr>
        <xdr:cNvPicPr>
          <a:picLocks noChangeAspect="1"/>
        </xdr:cNvPicPr>
      </xdr:nvPicPr>
      <xdr:blipFill>
        <a:blip xmlns:r="http://schemas.openxmlformats.org/officeDocument/2006/relationships" r:embed="rId1"/>
        <a:stretch>
          <a:fillRect/>
        </a:stretch>
      </xdr:blipFill>
      <xdr:spPr>
        <a:xfrm>
          <a:off x="12728575" y="104563"/>
          <a:ext cx="2074007" cy="5462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5593070</xdr:colOff>
      <xdr:row>1</xdr:row>
      <xdr:rowOff>44991</xdr:rowOff>
    </xdr:from>
    <xdr:to>
      <xdr:col>5</xdr:col>
      <xdr:colOff>758424</xdr:colOff>
      <xdr:row>1</xdr:row>
      <xdr:rowOff>574740</xdr:rowOff>
    </xdr:to>
    <xdr:pic>
      <xdr:nvPicPr>
        <xdr:cNvPr id="2" name="Picture 1">
          <a:extLst>
            <a:ext uri="{FF2B5EF4-FFF2-40B4-BE49-F238E27FC236}">
              <a16:creationId xmlns:a16="http://schemas.microsoft.com/office/drawing/2014/main" id="{E8DFA521-7C47-4046-A1A5-405197F4C2C7}"/>
            </a:ext>
          </a:extLst>
        </xdr:cNvPr>
        <xdr:cNvPicPr>
          <a:picLocks noChangeAspect="1"/>
        </xdr:cNvPicPr>
      </xdr:nvPicPr>
      <xdr:blipFill>
        <a:blip xmlns:r="http://schemas.openxmlformats.org/officeDocument/2006/relationships" r:embed="rId1"/>
        <a:stretch>
          <a:fillRect/>
        </a:stretch>
      </xdr:blipFill>
      <xdr:spPr>
        <a:xfrm>
          <a:off x="12289145" y="206916"/>
          <a:ext cx="2118604" cy="529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4392920</xdr:colOff>
      <xdr:row>0</xdr:row>
      <xdr:rowOff>102141</xdr:rowOff>
    </xdr:from>
    <xdr:to>
      <xdr:col>4</xdr:col>
      <xdr:colOff>364089</xdr:colOff>
      <xdr:row>3</xdr:row>
      <xdr:rowOff>56580</xdr:rowOff>
    </xdr:to>
    <xdr:pic>
      <xdr:nvPicPr>
        <xdr:cNvPr id="2" name="Picture 1">
          <a:extLst>
            <a:ext uri="{FF2B5EF4-FFF2-40B4-BE49-F238E27FC236}">
              <a16:creationId xmlns:a16="http://schemas.microsoft.com/office/drawing/2014/main" id="{6F9B4075-3CD1-4A88-A870-91D90A3B0BC4}"/>
            </a:ext>
          </a:extLst>
        </xdr:cNvPr>
        <xdr:cNvPicPr>
          <a:picLocks noChangeAspect="1"/>
        </xdr:cNvPicPr>
      </xdr:nvPicPr>
      <xdr:blipFill>
        <a:blip xmlns:r="http://schemas.openxmlformats.org/officeDocument/2006/relationships" r:embed="rId1"/>
        <a:stretch>
          <a:fillRect/>
        </a:stretch>
      </xdr:blipFill>
      <xdr:spPr>
        <a:xfrm>
          <a:off x="11088995" y="102141"/>
          <a:ext cx="2118604" cy="529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4392920</xdr:colOff>
      <xdr:row>0</xdr:row>
      <xdr:rowOff>102141</xdr:rowOff>
    </xdr:from>
    <xdr:to>
      <xdr:col>4</xdr:col>
      <xdr:colOff>360279</xdr:colOff>
      <xdr:row>3</xdr:row>
      <xdr:rowOff>60390</xdr:rowOff>
    </xdr:to>
    <xdr:pic>
      <xdr:nvPicPr>
        <xdr:cNvPr id="2" name="Picture 1">
          <a:extLst>
            <a:ext uri="{FF2B5EF4-FFF2-40B4-BE49-F238E27FC236}">
              <a16:creationId xmlns:a16="http://schemas.microsoft.com/office/drawing/2014/main" id="{6A36C221-2B61-4C94-9B08-A560A6D5A370}"/>
            </a:ext>
          </a:extLst>
        </xdr:cNvPr>
        <xdr:cNvPicPr>
          <a:picLocks noChangeAspect="1"/>
        </xdr:cNvPicPr>
      </xdr:nvPicPr>
      <xdr:blipFill>
        <a:blip xmlns:r="http://schemas.openxmlformats.org/officeDocument/2006/relationships" r:embed="rId1"/>
        <a:stretch>
          <a:fillRect/>
        </a:stretch>
      </xdr:blipFill>
      <xdr:spPr>
        <a:xfrm>
          <a:off x="11088995" y="102141"/>
          <a:ext cx="2118604" cy="529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4392920</xdr:colOff>
      <xdr:row>0</xdr:row>
      <xdr:rowOff>102141</xdr:rowOff>
    </xdr:from>
    <xdr:to>
      <xdr:col>4</xdr:col>
      <xdr:colOff>364089</xdr:colOff>
      <xdr:row>3</xdr:row>
      <xdr:rowOff>56580</xdr:rowOff>
    </xdr:to>
    <xdr:pic>
      <xdr:nvPicPr>
        <xdr:cNvPr id="2" name="Picture 1">
          <a:extLst>
            <a:ext uri="{FF2B5EF4-FFF2-40B4-BE49-F238E27FC236}">
              <a16:creationId xmlns:a16="http://schemas.microsoft.com/office/drawing/2014/main" id="{9A6F55DF-5551-4E8E-B2A3-3B2B0B010516}"/>
            </a:ext>
          </a:extLst>
        </xdr:cNvPr>
        <xdr:cNvPicPr>
          <a:picLocks noChangeAspect="1"/>
        </xdr:cNvPicPr>
      </xdr:nvPicPr>
      <xdr:blipFill>
        <a:blip xmlns:r="http://schemas.openxmlformats.org/officeDocument/2006/relationships" r:embed="rId1"/>
        <a:stretch>
          <a:fillRect/>
        </a:stretch>
      </xdr:blipFill>
      <xdr:spPr>
        <a:xfrm>
          <a:off x="11088995" y="102141"/>
          <a:ext cx="2118604" cy="529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2390775</xdr:colOff>
      <xdr:row>0</xdr:row>
      <xdr:rowOff>114300</xdr:rowOff>
    </xdr:from>
    <xdr:to>
      <xdr:col>9</xdr:col>
      <xdr:colOff>4511284</xdr:colOff>
      <xdr:row>3</xdr:row>
      <xdr:rowOff>55404</xdr:rowOff>
    </xdr:to>
    <xdr:pic>
      <xdr:nvPicPr>
        <xdr:cNvPr id="2" name="Picture 1">
          <a:extLst>
            <a:ext uri="{FF2B5EF4-FFF2-40B4-BE49-F238E27FC236}">
              <a16:creationId xmlns:a16="http://schemas.microsoft.com/office/drawing/2014/main" id="{45D30D62-63A8-41D6-8F31-E54DD567963F}"/>
            </a:ext>
          </a:extLst>
        </xdr:cNvPr>
        <xdr:cNvPicPr>
          <a:picLocks noChangeAspect="1"/>
        </xdr:cNvPicPr>
      </xdr:nvPicPr>
      <xdr:blipFill>
        <a:blip xmlns:r="http://schemas.openxmlformats.org/officeDocument/2006/relationships" r:embed="rId1"/>
        <a:stretch>
          <a:fillRect/>
        </a:stretch>
      </xdr:blipFill>
      <xdr:spPr>
        <a:xfrm>
          <a:off x="11220450" y="114300"/>
          <a:ext cx="2116699" cy="531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S27"/>
  <sheetViews>
    <sheetView tabSelected="1" workbookViewId="0"/>
  </sheetViews>
  <sheetFormatPr defaultColWidth="9" defaultRowHeight="12.6"/>
  <cols>
    <col min="1" max="1" width="1.6328125" style="1" customWidth="1"/>
    <col min="2" max="2" width="9" style="1"/>
    <col min="3" max="3" width="10.26953125" style="1" bestFit="1" customWidth="1"/>
    <col min="4" max="16384" width="9" style="1"/>
  </cols>
  <sheetData>
    <row r="1" spans="1:19">
      <c r="A1" s="2"/>
      <c r="B1" s="2"/>
      <c r="C1" s="2"/>
      <c r="D1" s="2"/>
      <c r="E1" s="2"/>
      <c r="F1" s="2"/>
      <c r="G1" s="2"/>
      <c r="H1" s="2"/>
      <c r="I1" s="4"/>
      <c r="J1" s="2"/>
      <c r="K1" s="2"/>
      <c r="L1" s="2"/>
      <c r="M1" s="2"/>
      <c r="N1" s="2"/>
      <c r="O1" s="2"/>
      <c r="P1" s="2"/>
      <c r="Q1" s="2"/>
      <c r="R1" s="2"/>
    </row>
    <row r="2" spans="1:19" ht="42.75" customHeight="1">
      <c r="A2" s="2"/>
      <c r="B2" s="485" t="s">
        <v>191</v>
      </c>
      <c r="C2" s="485"/>
      <c r="D2" s="485"/>
      <c r="E2" s="485"/>
      <c r="F2" s="485"/>
      <c r="G2" s="485"/>
      <c r="H2" s="485"/>
      <c r="I2" s="485"/>
      <c r="J2" s="485"/>
      <c r="K2" s="485"/>
      <c r="L2" s="485"/>
      <c r="M2" s="485"/>
      <c r="N2" s="485"/>
      <c r="O2" s="485"/>
      <c r="P2" s="2"/>
      <c r="Q2" s="2"/>
      <c r="R2" s="2"/>
    </row>
    <row r="3" spans="1:19">
      <c r="A3" s="2"/>
      <c r="B3" s="2"/>
      <c r="C3" s="2"/>
      <c r="D3" s="2"/>
      <c r="E3" s="2"/>
      <c r="F3" s="2"/>
      <c r="G3" s="2"/>
      <c r="H3" s="2"/>
      <c r="I3" s="4"/>
      <c r="J3" s="2"/>
      <c r="K3" s="2"/>
      <c r="L3" s="2"/>
      <c r="M3" s="2"/>
      <c r="N3" s="2"/>
      <c r="O3" s="2"/>
      <c r="P3" s="2"/>
      <c r="Q3" s="2"/>
      <c r="R3" s="2"/>
    </row>
    <row r="4" spans="1:19" ht="89.25" customHeight="1">
      <c r="B4" s="486" t="s">
        <v>343</v>
      </c>
      <c r="C4" s="486"/>
      <c r="D4" s="486"/>
      <c r="E4" s="486"/>
      <c r="F4" s="486"/>
      <c r="G4" s="486"/>
      <c r="H4" s="486"/>
      <c r="I4" s="486"/>
      <c r="J4" s="486"/>
      <c r="K4" s="486"/>
      <c r="L4" s="486"/>
      <c r="M4" s="486"/>
      <c r="N4" s="486"/>
      <c r="O4" s="486"/>
      <c r="P4" s="486"/>
      <c r="Q4" s="486"/>
      <c r="R4" s="486"/>
      <c r="S4" s="486"/>
    </row>
    <row r="7" spans="1:19">
      <c r="B7" s="8" t="s">
        <v>77</v>
      </c>
      <c r="C7" s="10"/>
    </row>
    <row r="8" spans="1:19">
      <c r="B8" s="415" t="s">
        <v>500</v>
      </c>
    </row>
    <row r="9" spans="1:19">
      <c r="B9" s="415" t="s">
        <v>501</v>
      </c>
    </row>
    <row r="10" spans="1:19">
      <c r="B10" s="286" t="s">
        <v>299</v>
      </c>
    </row>
    <row r="11" spans="1:19">
      <c r="B11" s="286"/>
    </row>
    <row r="12" spans="1:19">
      <c r="B12" s="415" t="s">
        <v>498</v>
      </c>
    </row>
    <row r="13" spans="1:19">
      <c r="B13" s="487" t="s">
        <v>499</v>
      </c>
      <c r="C13" s="488"/>
      <c r="D13" s="488"/>
      <c r="E13" s="488"/>
      <c r="F13" s="488"/>
      <c r="G13" s="488"/>
      <c r="H13" s="488"/>
      <c r="I13" s="488"/>
      <c r="J13" s="488"/>
      <c r="K13" s="488"/>
      <c r="L13" s="488"/>
      <c r="M13" s="488"/>
      <c r="N13" s="488"/>
      <c r="O13" s="488"/>
      <c r="P13" s="488"/>
      <c r="Q13" s="488"/>
      <c r="R13" s="488"/>
      <c r="S13" s="488"/>
    </row>
    <row r="14" spans="1:19">
      <c r="B14" s="286" t="s">
        <v>299</v>
      </c>
    </row>
    <row r="15" spans="1:19">
      <c r="B15" s="39"/>
    </row>
    <row r="16" spans="1:19">
      <c r="B16" s="11"/>
      <c r="C16" s="10"/>
    </row>
    <row r="17" spans="2:4">
      <c r="B17" s="12" t="s">
        <v>57</v>
      </c>
    </row>
    <row r="19" spans="2:4">
      <c r="B19" s="1" t="s">
        <v>58</v>
      </c>
      <c r="C19" s="484">
        <v>44615</v>
      </c>
    </row>
    <row r="20" spans="2:4">
      <c r="C20" s="13"/>
    </row>
    <row r="21" spans="2:4">
      <c r="C21" s="13"/>
      <c r="D21" s="14"/>
    </row>
    <row r="22" spans="2:4">
      <c r="C22" s="13"/>
    </row>
    <row r="23" spans="2:4">
      <c r="C23" s="13"/>
      <c r="D23" s="14"/>
    </row>
    <row r="25" spans="2:4">
      <c r="C25" s="13"/>
    </row>
    <row r="26" spans="2:4">
      <c r="C26" s="13"/>
    </row>
    <row r="27" spans="2:4">
      <c r="C27" s="13"/>
    </row>
  </sheetData>
  <mergeCells count="3">
    <mergeCell ref="B2:O2"/>
    <mergeCell ref="B4:S4"/>
    <mergeCell ref="B13:S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FB535"/>
  <sheetViews>
    <sheetView zoomScaleNormal="100" workbookViewId="0"/>
  </sheetViews>
  <sheetFormatPr defaultColWidth="8.7265625" defaultRowHeight="12.6"/>
  <cols>
    <col min="1" max="1" width="1.6328125" style="1" customWidth="1"/>
    <col min="2" max="2" width="74.6328125" style="3" customWidth="1"/>
    <col min="3" max="3" width="16.453125" style="1" customWidth="1"/>
    <col min="4" max="4" width="21.7265625" style="1" customWidth="1"/>
    <col min="5" max="5" width="19.7265625" style="1" customWidth="1"/>
    <col min="6" max="6" width="20.6328125" style="1" customWidth="1"/>
    <col min="7" max="7" width="17.26953125" style="3" customWidth="1"/>
    <col min="8" max="8" width="16.453125" style="3" customWidth="1"/>
    <col min="9" max="9" width="16.6328125" style="3" customWidth="1"/>
    <col min="10" max="10" width="16.36328125" style="3" customWidth="1"/>
    <col min="11" max="12" width="20.6328125" style="3" customWidth="1"/>
    <col min="13" max="13" width="15.6328125" style="3" customWidth="1"/>
    <col min="14" max="14" width="14.453125" style="3" customWidth="1"/>
    <col min="15" max="15" width="8.7265625" style="1" bestFit="1" customWidth="1"/>
    <col min="16" max="16" width="9.6328125" style="1" bestFit="1" customWidth="1"/>
    <col min="17" max="17" width="11.26953125" style="1" customWidth="1"/>
    <col min="18" max="18" width="9.6328125" style="1" bestFit="1" customWidth="1"/>
    <col min="19" max="158" width="8.7265625" style="1"/>
    <col min="159" max="16384" width="8.7265625" style="3"/>
  </cols>
  <sheetData>
    <row r="1" spans="2:17" s="1" customFormat="1"/>
    <row r="2" spans="2:17" s="1" customFormat="1" ht="19.8">
      <c r="B2" s="375" t="s">
        <v>459</v>
      </c>
    </row>
    <row r="3" spans="2:17" s="1" customFormat="1"/>
    <row r="4" spans="2:17" s="1" customFormat="1">
      <c r="B4" s="316" t="s">
        <v>319</v>
      </c>
      <c r="C4" s="2"/>
    </row>
    <row r="5" spans="2:17" s="1" customFormat="1">
      <c r="B5" s="163" t="s">
        <v>321</v>
      </c>
      <c r="C5" s="315"/>
    </row>
    <row r="6" spans="2:17" s="1" customFormat="1">
      <c r="B6" s="163" t="s">
        <v>320</v>
      </c>
      <c r="C6" s="315"/>
    </row>
    <row r="7" spans="2:17" s="1" customFormat="1" ht="13.8">
      <c r="B7" s="163" t="s">
        <v>322</v>
      </c>
      <c r="C7" s="315"/>
    </row>
    <row r="8" spans="2:17" s="1" customFormat="1">
      <c r="B8" s="2"/>
      <c r="C8" s="2"/>
    </row>
    <row r="9" spans="2:17" s="1" customFormat="1">
      <c r="B9" s="12"/>
      <c r="O9" s="2"/>
      <c r="P9" s="2"/>
      <c r="Q9" s="2"/>
    </row>
    <row r="10" spans="2:17" ht="46.5" customHeight="1">
      <c r="B10" s="400" t="s">
        <v>485</v>
      </c>
      <c r="C10" s="518" t="s">
        <v>486</v>
      </c>
      <c r="D10" s="518"/>
      <c r="E10" s="518"/>
      <c r="F10" s="385" t="s">
        <v>487</v>
      </c>
      <c r="G10" s="394"/>
      <c r="H10" s="517" t="s">
        <v>486</v>
      </c>
      <c r="I10" s="517"/>
      <c r="J10" s="517"/>
      <c r="K10" s="409" t="s">
        <v>484</v>
      </c>
      <c r="L10" s="405" t="s">
        <v>491</v>
      </c>
      <c r="M10" s="516" t="s">
        <v>492</v>
      </c>
      <c r="N10" s="516"/>
      <c r="O10" s="516"/>
      <c r="P10" s="516"/>
      <c r="Q10" s="2"/>
    </row>
    <row r="11" spans="2:17" ht="60.75" customHeight="1">
      <c r="B11" s="401"/>
      <c r="C11" s="386" t="s">
        <v>32</v>
      </c>
      <c r="D11" s="387" t="s">
        <v>33</v>
      </c>
      <c r="E11" s="386" t="s">
        <v>36</v>
      </c>
      <c r="F11" s="381" t="s">
        <v>66</v>
      </c>
      <c r="G11" s="16" t="s">
        <v>85</v>
      </c>
      <c r="H11" s="388" t="s">
        <v>35</v>
      </c>
      <c r="I11" s="388" t="s">
        <v>65</v>
      </c>
      <c r="J11" s="388" t="s">
        <v>37</v>
      </c>
      <c r="K11" s="370" t="s">
        <v>488</v>
      </c>
      <c r="L11" s="408" t="s">
        <v>45</v>
      </c>
      <c r="M11" s="516"/>
      <c r="N11" s="516"/>
      <c r="O11" s="516"/>
      <c r="P11" s="516"/>
      <c r="Q11" s="2"/>
    </row>
    <row r="12" spans="2:17" ht="13.8">
      <c r="B12" s="402"/>
      <c r="C12" s="45"/>
      <c r="D12" s="45" t="s">
        <v>67</v>
      </c>
      <c r="E12" s="45" t="s">
        <v>67</v>
      </c>
      <c r="F12" s="382" t="s">
        <v>68</v>
      </c>
      <c r="G12" s="18" t="s">
        <v>83</v>
      </c>
      <c r="H12" s="389" t="s">
        <v>34</v>
      </c>
      <c r="I12" s="389" t="s">
        <v>34</v>
      </c>
      <c r="J12" s="389" t="s">
        <v>34</v>
      </c>
      <c r="K12" s="392"/>
      <c r="L12" s="406"/>
      <c r="M12" s="2"/>
      <c r="N12" s="2"/>
      <c r="O12" s="2"/>
      <c r="P12" s="2"/>
      <c r="Q12" s="2"/>
    </row>
    <row r="13" spans="2:17" ht="13.8">
      <c r="B13" s="402"/>
      <c r="C13" s="45"/>
      <c r="D13" s="45"/>
      <c r="E13" s="45"/>
      <c r="F13" s="382"/>
      <c r="G13" s="18"/>
      <c r="H13" s="389"/>
      <c r="I13" s="389"/>
      <c r="J13" s="389"/>
      <c r="K13" s="19" t="s">
        <v>83</v>
      </c>
      <c r="L13" s="388" t="s">
        <v>53</v>
      </c>
      <c r="M13" s="2"/>
      <c r="N13" s="2"/>
      <c r="O13" s="2"/>
      <c r="P13" s="2"/>
      <c r="Q13" s="2"/>
    </row>
    <row r="14" spans="2:17" ht="12.75" customHeight="1">
      <c r="B14" s="402"/>
      <c r="C14" s="45"/>
      <c r="D14" s="45"/>
      <c r="E14" s="45"/>
      <c r="F14" s="382"/>
      <c r="G14" s="18"/>
      <c r="H14" s="389"/>
      <c r="I14" s="389"/>
      <c r="J14" s="389"/>
      <c r="K14" s="19"/>
      <c r="L14" s="406"/>
      <c r="M14" s="2"/>
      <c r="N14" s="2"/>
      <c r="O14" s="2"/>
      <c r="P14" s="2"/>
      <c r="Q14" s="2"/>
    </row>
    <row r="15" spans="2:17">
      <c r="B15" s="403" t="s">
        <v>84</v>
      </c>
      <c r="C15" s="46" t="s">
        <v>38</v>
      </c>
      <c r="D15" s="46" t="s">
        <v>38</v>
      </c>
      <c r="E15" s="46" t="s">
        <v>38</v>
      </c>
      <c r="F15" s="383" t="s">
        <v>38</v>
      </c>
      <c r="G15" s="21" t="s">
        <v>38</v>
      </c>
      <c r="H15" s="390" t="s">
        <v>38</v>
      </c>
      <c r="I15" s="390" t="s">
        <v>38</v>
      </c>
      <c r="J15" s="390" t="s">
        <v>38</v>
      </c>
      <c r="K15" s="22" t="s">
        <v>38</v>
      </c>
      <c r="L15" s="407" t="s">
        <v>38</v>
      </c>
      <c r="M15" s="2"/>
      <c r="N15" s="2"/>
      <c r="O15" s="2"/>
      <c r="P15" s="2"/>
      <c r="Q15" s="2"/>
    </row>
    <row r="16" spans="2:17">
      <c r="B16" s="404" t="s">
        <v>15</v>
      </c>
      <c r="C16" s="47">
        <v>100</v>
      </c>
      <c r="D16" s="47">
        <v>1170</v>
      </c>
      <c r="E16" s="47">
        <v>1670</v>
      </c>
      <c r="F16" s="384">
        <v>9630</v>
      </c>
      <c r="G16" s="25">
        <f>+D16+E16</f>
        <v>2840</v>
      </c>
      <c r="H16" s="391">
        <v>360</v>
      </c>
      <c r="I16" s="391">
        <v>30</v>
      </c>
      <c r="J16" s="391"/>
      <c r="K16" s="26">
        <f t="shared" ref="K16:K35" si="0">+G16+H16+I16+J16</f>
        <v>3230</v>
      </c>
      <c r="L16" s="407">
        <v>0.33889999999999998</v>
      </c>
      <c r="M16" s="2"/>
      <c r="N16" s="2"/>
      <c r="O16" s="2"/>
      <c r="P16" s="2"/>
      <c r="Q16" s="2"/>
    </row>
    <row r="17" spans="2:17">
      <c r="B17" s="404" t="s">
        <v>91</v>
      </c>
      <c r="C17" s="47">
        <v>100</v>
      </c>
      <c r="D17" s="47">
        <v>1170</v>
      </c>
      <c r="E17" s="47">
        <v>1670</v>
      </c>
      <c r="F17" s="384">
        <v>9630</v>
      </c>
      <c r="G17" s="25">
        <f>+D17+E17</f>
        <v>2840</v>
      </c>
      <c r="H17" s="391">
        <v>360</v>
      </c>
      <c r="I17" s="391">
        <v>30</v>
      </c>
      <c r="J17" s="391"/>
      <c r="K17" s="26">
        <f t="shared" si="0"/>
        <v>3230</v>
      </c>
      <c r="L17" s="407">
        <v>0.14316000000000001</v>
      </c>
      <c r="M17" s="2"/>
      <c r="N17" s="2"/>
      <c r="O17" s="2"/>
      <c r="P17" s="2"/>
      <c r="Q17" s="2"/>
    </row>
    <row r="18" spans="2:17">
      <c r="B18" s="404" t="s">
        <v>14</v>
      </c>
      <c r="C18" s="47">
        <v>125</v>
      </c>
      <c r="D18" s="47">
        <v>370</v>
      </c>
      <c r="E18" s="47">
        <v>1000</v>
      </c>
      <c r="F18" s="384">
        <v>3063</v>
      </c>
      <c r="G18" s="25">
        <f t="shared" ref="G18:G35" si="1">+D18+E18</f>
        <v>1370</v>
      </c>
      <c r="H18" s="391">
        <v>340</v>
      </c>
      <c r="I18" s="391">
        <v>40</v>
      </c>
      <c r="J18" s="391"/>
      <c r="K18" s="26">
        <f t="shared" si="0"/>
        <v>1750</v>
      </c>
      <c r="L18" s="407">
        <v>0.28819</v>
      </c>
      <c r="M18" s="2"/>
      <c r="N18" s="2"/>
      <c r="O18" s="2"/>
      <c r="P18" s="2"/>
      <c r="Q18" s="2"/>
    </row>
    <row r="19" spans="2:17">
      <c r="B19" s="404" t="s">
        <v>92</v>
      </c>
      <c r="C19" s="47">
        <v>125</v>
      </c>
      <c r="D19" s="47">
        <v>370</v>
      </c>
      <c r="E19" s="47">
        <v>1000</v>
      </c>
      <c r="F19" s="384">
        <v>3063</v>
      </c>
      <c r="G19" s="25">
        <f t="shared" si="1"/>
        <v>1370</v>
      </c>
      <c r="H19" s="391">
        <v>340</v>
      </c>
      <c r="I19" s="391">
        <v>40</v>
      </c>
      <c r="J19" s="391"/>
      <c r="K19" s="26">
        <f t="shared" si="0"/>
        <v>1750</v>
      </c>
      <c r="L19" s="407">
        <v>0.12862999999999999</v>
      </c>
      <c r="M19" s="2"/>
      <c r="N19" s="2"/>
      <c r="O19" s="2"/>
      <c r="P19" s="2"/>
      <c r="Q19" s="2"/>
    </row>
    <row r="20" spans="2:17">
      <c r="B20" s="404" t="s">
        <v>16</v>
      </c>
      <c r="C20" s="47">
        <v>80</v>
      </c>
      <c r="D20" s="47">
        <v>160</v>
      </c>
      <c r="E20" s="47">
        <v>330</v>
      </c>
      <c r="F20" s="384">
        <v>590</v>
      </c>
      <c r="G20" s="25">
        <f t="shared" si="1"/>
        <v>490</v>
      </c>
      <c r="H20" s="391">
        <v>140</v>
      </c>
      <c r="I20" s="391">
        <v>20</v>
      </c>
      <c r="J20" s="391"/>
      <c r="K20" s="26">
        <f t="shared" si="0"/>
        <v>650</v>
      </c>
      <c r="L20" s="407">
        <v>2.3820000000000001E-2</v>
      </c>
      <c r="M20" s="2"/>
      <c r="N20" s="2"/>
      <c r="O20" s="2"/>
      <c r="P20" s="2"/>
      <c r="Q20" s="2"/>
    </row>
    <row r="21" spans="2:17">
      <c r="B21" s="404" t="s">
        <v>17</v>
      </c>
      <c r="C21" s="47">
        <v>132</v>
      </c>
      <c r="D21" s="47">
        <v>560</v>
      </c>
      <c r="E21" s="47">
        <v>910</v>
      </c>
      <c r="F21" s="384">
        <v>1960</v>
      </c>
      <c r="G21" s="25">
        <f t="shared" si="1"/>
        <v>1470</v>
      </c>
      <c r="H21" s="391">
        <v>390</v>
      </c>
      <c r="I21" s="391">
        <v>70</v>
      </c>
      <c r="J21" s="391"/>
      <c r="K21" s="26">
        <f t="shared" si="0"/>
        <v>1930</v>
      </c>
      <c r="L21" s="407">
        <v>7.1059999999999998E-2</v>
      </c>
      <c r="M21" s="2"/>
      <c r="N21" s="2"/>
      <c r="O21" s="2"/>
      <c r="P21" s="2"/>
      <c r="Q21" s="2"/>
    </row>
    <row r="22" spans="2:17">
      <c r="B22" s="404" t="s">
        <v>18</v>
      </c>
      <c r="C22" s="47">
        <v>132</v>
      </c>
      <c r="D22" s="47">
        <v>710</v>
      </c>
      <c r="E22" s="47">
        <v>1160</v>
      </c>
      <c r="F22" s="384">
        <v>2480</v>
      </c>
      <c r="G22" s="25">
        <f t="shared" si="1"/>
        <v>1870</v>
      </c>
      <c r="H22" s="391">
        <v>290</v>
      </c>
      <c r="I22" s="391">
        <v>40</v>
      </c>
      <c r="J22" s="391"/>
      <c r="K22" s="26">
        <f t="shared" si="0"/>
        <v>2200</v>
      </c>
      <c r="L22" s="407">
        <v>7.1059999999999998E-2</v>
      </c>
      <c r="M22" s="2"/>
      <c r="N22" s="2"/>
      <c r="O22" s="2"/>
      <c r="P22" s="2"/>
      <c r="Q22" s="2"/>
    </row>
    <row r="23" spans="2:17">
      <c r="B23" s="404" t="s">
        <v>19</v>
      </c>
      <c r="C23" s="47">
        <v>400</v>
      </c>
      <c r="D23" s="47">
        <v>600</v>
      </c>
      <c r="E23" s="47">
        <v>970</v>
      </c>
      <c r="F23" s="384">
        <v>2110</v>
      </c>
      <c r="G23" s="25">
        <f t="shared" si="1"/>
        <v>1570</v>
      </c>
      <c r="H23" s="391">
        <v>400</v>
      </c>
      <c r="I23" s="391">
        <v>50</v>
      </c>
      <c r="J23" s="391"/>
      <c r="K23" s="26">
        <f t="shared" si="0"/>
        <v>2020</v>
      </c>
      <c r="L23" s="407">
        <v>3.0429999999999999E-2</v>
      </c>
      <c r="M23" s="2"/>
      <c r="N23" s="2"/>
      <c r="O23" s="2"/>
      <c r="P23" s="2"/>
      <c r="Q23" s="2"/>
    </row>
    <row r="24" spans="2:17">
      <c r="B24" s="404" t="s">
        <v>20</v>
      </c>
      <c r="C24" s="47">
        <v>21000</v>
      </c>
      <c r="D24" s="47">
        <v>750</v>
      </c>
      <c r="E24" s="47">
        <v>1100</v>
      </c>
      <c r="F24" s="384">
        <v>2810</v>
      </c>
      <c r="G24" s="25">
        <f t="shared" si="1"/>
        <v>1850</v>
      </c>
      <c r="H24" s="391"/>
      <c r="I24" s="391">
        <v>1360</v>
      </c>
      <c r="J24" s="391">
        <v>1200</v>
      </c>
      <c r="K24" s="26">
        <f t="shared" si="0"/>
        <v>4410</v>
      </c>
      <c r="L24" s="407">
        <v>2.0200000000000001E-3</v>
      </c>
      <c r="M24" s="2"/>
      <c r="N24" s="2"/>
      <c r="O24" s="2"/>
      <c r="P24" s="2"/>
      <c r="Q24" s="2"/>
    </row>
    <row r="25" spans="2:17">
      <c r="B25" s="404" t="s">
        <v>21</v>
      </c>
      <c r="C25" s="47">
        <v>21000</v>
      </c>
      <c r="D25" s="47">
        <v>750</v>
      </c>
      <c r="E25" s="47">
        <v>1100</v>
      </c>
      <c r="F25" s="384">
        <v>2810</v>
      </c>
      <c r="G25" s="25">
        <f t="shared" si="1"/>
        <v>1850</v>
      </c>
      <c r="H25" s="391"/>
      <c r="I25" s="391">
        <v>1360</v>
      </c>
      <c r="J25" s="391">
        <v>1200</v>
      </c>
      <c r="K25" s="26">
        <f t="shared" si="0"/>
        <v>4410</v>
      </c>
      <c r="L25" s="407">
        <v>1.81E-3</v>
      </c>
      <c r="M25" s="2"/>
      <c r="N25" s="2"/>
      <c r="O25" s="2"/>
      <c r="P25" s="2"/>
      <c r="Q25" s="2"/>
    </row>
    <row r="26" spans="2:17">
      <c r="B26" s="404" t="s">
        <v>52</v>
      </c>
      <c r="C26" s="47">
        <v>21000</v>
      </c>
      <c r="D26" s="47">
        <v>750</v>
      </c>
      <c r="E26" s="47">
        <v>1100</v>
      </c>
      <c r="F26" s="384">
        <v>2810</v>
      </c>
      <c r="G26" s="25">
        <f t="shared" si="1"/>
        <v>1850</v>
      </c>
      <c r="H26" s="391"/>
      <c r="I26" s="391">
        <v>1360</v>
      </c>
      <c r="J26" s="391">
        <v>600</v>
      </c>
      <c r="K26" s="26">
        <f t="shared" si="0"/>
        <v>3810</v>
      </c>
      <c r="L26" s="407">
        <v>1.81E-3</v>
      </c>
      <c r="M26" s="2"/>
      <c r="N26" s="2"/>
      <c r="O26" s="2"/>
      <c r="P26" s="2"/>
      <c r="Q26" s="2"/>
    </row>
    <row r="27" spans="2:17">
      <c r="B27" s="404" t="s">
        <v>22</v>
      </c>
      <c r="C27" s="47">
        <v>21000</v>
      </c>
      <c r="D27" s="47">
        <v>750</v>
      </c>
      <c r="E27" s="47">
        <v>1100</v>
      </c>
      <c r="F27" s="384">
        <v>2810</v>
      </c>
      <c r="G27" s="25">
        <f t="shared" si="1"/>
        <v>1850</v>
      </c>
      <c r="H27" s="391"/>
      <c r="I27" s="391">
        <v>1360</v>
      </c>
      <c r="J27" s="391">
        <v>300</v>
      </c>
      <c r="K27" s="26">
        <f t="shared" si="0"/>
        <v>3510</v>
      </c>
      <c r="L27" s="407">
        <v>1.81E-3</v>
      </c>
      <c r="M27" s="2"/>
      <c r="N27" s="2"/>
      <c r="O27" s="2"/>
      <c r="P27" s="2"/>
      <c r="Q27" s="2"/>
    </row>
    <row r="28" spans="2:17">
      <c r="B28" s="404" t="s">
        <v>23</v>
      </c>
      <c r="C28" s="47">
        <v>10000</v>
      </c>
      <c r="D28" s="47">
        <v>1430</v>
      </c>
      <c r="E28" s="47">
        <v>2030</v>
      </c>
      <c r="F28" s="384">
        <v>5360</v>
      </c>
      <c r="G28" s="25">
        <f t="shared" si="1"/>
        <v>3460</v>
      </c>
      <c r="H28" s="391">
        <v>950</v>
      </c>
      <c r="I28" s="391">
        <v>200</v>
      </c>
      <c r="J28" s="391"/>
      <c r="K28" s="26">
        <f t="shared" si="0"/>
        <v>4610</v>
      </c>
      <c r="L28" s="407">
        <v>1.7099999999999999E-3</v>
      </c>
      <c r="M28" s="2"/>
      <c r="N28" s="2"/>
      <c r="O28" s="2"/>
      <c r="P28" s="2"/>
      <c r="Q28" s="2"/>
    </row>
    <row r="29" spans="2:17">
      <c r="B29" s="404" t="s">
        <v>24</v>
      </c>
      <c r="C29" s="47">
        <v>20000</v>
      </c>
      <c r="D29" s="47">
        <v>1110</v>
      </c>
      <c r="E29" s="47">
        <v>1600</v>
      </c>
      <c r="F29" s="384">
        <v>4170</v>
      </c>
      <c r="G29" s="25">
        <f t="shared" si="1"/>
        <v>2710</v>
      </c>
      <c r="H29" s="391"/>
      <c r="I29" s="391">
        <v>20</v>
      </c>
      <c r="J29" s="391"/>
      <c r="K29" s="26">
        <f t="shared" si="0"/>
        <v>2730</v>
      </c>
      <c r="L29" s="407">
        <v>1.56E-3</v>
      </c>
      <c r="M29" s="2"/>
      <c r="N29" s="2"/>
      <c r="O29" s="2"/>
      <c r="P29" s="2"/>
      <c r="Q29" s="2"/>
    </row>
    <row r="30" spans="2:17">
      <c r="B30" s="404" t="s">
        <v>25</v>
      </c>
      <c r="C30" s="47">
        <v>20000</v>
      </c>
      <c r="D30" s="47">
        <v>1270</v>
      </c>
      <c r="E30" s="47">
        <v>1822</v>
      </c>
      <c r="F30" s="384">
        <v>4780</v>
      </c>
      <c r="G30" s="25">
        <f t="shared" si="1"/>
        <v>3092</v>
      </c>
      <c r="H30" s="391"/>
      <c r="I30" s="391">
        <v>300</v>
      </c>
      <c r="J30" s="391">
        <v>1600</v>
      </c>
      <c r="K30" s="26">
        <f t="shared" si="0"/>
        <v>4992</v>
      </c>
      <c r="L30" s="407">
        <v>1.7099999999999999E-3</v>
      </c>
      <c r="M30" s="2"/>
      <c r="N30" s="2"/>
      <c r="O30" s="2"/>
      <c r="P30" s="2"/>
      <c r="Q30" s="2"/>
    </row>
    <row r="31" spans="2:17">
      <c r="B31" s="404" t="s">
        <v>26</v>
      </c>
      <c r="C31" s="47">
        <v>7000</v>
      </c>
      <c r="D31" s="47">
        <v>390</v>
      </c>
      <c r="E31" s="47">
        <v>600</v>
      </c>
      <c r="F31" s="384">
        <v>1458</v>
      </c>
      <c r="G31" s="25">
        <f t="shared" si="1"/>
        <v>990</v>
      </c>
      <c r="H31" s="391">
        <v>260</v>
      </c>
      <c r="I31" s="391">
        <v>40</v>
      </c>
      <c r="J31" s="391"/>
      <c r="K31" s="26">
        <f t="shared" si="0"/>
        <v>1290</v>
      </c>
      <c r="L31" s="407">
        <v>2.98E-3</v>
      </c>
      <c r="M31" s="2"/>
      <c r="N31" s="2"/>
      <c r="O31" s="2"/>
      <c r="P31" s="2"/>
      <c r="Q31" s="2"/>
    </row>
    <row r="32" spans="2:17">
      <c r="B32" s="404" t="s">
        <v>27</v>
      </c>
      <c r="C32" s="47">
        <v>9000</v>
      </c>
      <c r="D32" s="47">
        <v>500</v>
      </c>
      <c r="E32" s="47">
        <v>750</v>
      </c>
      <c r="F32" s="384">
        <v>1880</v>
      </c>
      <c r="G32" s="25">
        <f t="shared" si="1"/>
        <v>1250</v>
      </c>
      <c r="H32" s="391">
        <v>330</v>
      </c>
      <c r="I32" s="391">
        <v>60</v>
      </c>
      <c r="J32" s="391"/>
      <c r="K32" s="26">
        <f t="shared" si="0"/>
        <v>1640</v>
      </c>
      <c r="L32" s="407">
        <v>1.3699999999999999E-3</v>
      </c>
      <c r="M32" s="2"/>
      <c r="N32" s="2"/>
      <c r="O32" s="2"/>
      <c r="P32" s="2"/>
      <c r="Q32" s="2"/>
    </row>
    <row r="33" spans="1:158">
      <c r="B33" s="404" t="s">
        <v>28</v>
      </c>
      <c r="C33" s="47">
        <v>10000</v>
      </c>
      <c r="D33" s="47">
        <v>3330</v>
      </c>
      <c r="E33" s="47">
        <v>4650</v>
      </c>
      <c r="F33" s="384">
        <v>12500</v>
      </c>
      <c r="G33" s="25">
        <f t="shared" si="1"/>
        <v>7980</v>
      </c>
      <c r="H33" s="391"/>
      <c r="I33" s="391">
        <v>60</v>
      </c>
      <c r="J33" s="391"/>
      <c r="K33" s="26">
        <f t="shared" si="0"/>
        <v>8040</v>
      </c>
      <c r="L33" s="407">
        <v>4.8199999999999996E-3</v>
      </c>
      <c r="M33" s="2"/>
      <c r="N33" s="2"/>
      <c r="O33" s="2"/>
      <c r="P33" s="2"/>
      <c r="Q33" s="2"/>
    </row>
    <row r="34" spans="1:158">
      <c r="B34" s="404" t="s">
        <v>29</v>
      </c>
      <c r="C34" s="47">
        <v>10000</v>
      </c>
      <c r="D34" s="47">
        <v>2000</v>
      </c>
      <c r="E34" s="47">
        <v>2820</v>
      </c>
      <c r="F34" s="384">
        <v>7500</v>
      </c>
      <c r="G34" s="25">
        <f t="shared" si="1"/>
        <v>4820</v>
      </c>
      <c r="H34" s="391"/>
      <c r="I34" s="391">
        <v>60</v>
      </c>
      <c r="J34" s="391"/>
      <c r="K34" s="26">
        <f t="shared" si="0"/>
        <v>4880</v>
      </c>
      <c r="L34" s="407">
        <v>2.7399999999999998E-3</v>
      </c>
      <c r="M34" s="2"/>
      <c r="N34" s="2"/>
      <c r="O34" s="2"/>
      <c r="P34" s="2"/>
      <c r="Q34" s="2"/>
    </row>
    <row r="35" spans="1:158">
      <c r="B35" s="404" t="s">
        <v>30</v>
      </c>
      <c r="C35" s="47">
        <v>10000</v>
      </c>
      <c r="D35" s="47">
        <v>2500</v>
      </c>
      <c r="E35" s="47">
        <v>3500</v>
      </c>
      <c r="F35" s="384">
        <v>9380</v>
      </c>
      <c r="G35" s="25">
        <f t="shared" si="1"/>
        <v>6000</v>
      </c>
      <c r="H35" s="391"/>
      <c r="I35" s="391">
        <v>60</v>
      </c>
      <c r="J35" s="391"/>
      <c r="K35" s="26">
        <f t="shared" si="0"/>
        <v>6060</v>
      </c>
      <c r="L35" s="407">
        <v>4.8199999999999996E-3</v>
      </c>
      <c r="M35" s="2"/>
      <c r="N35" s="2"/>
      <c r="O35" s="2"/>
      <c r="P35" s="2"/>
      <c r="Q35" s="2"/>
    </row>
    <row r="36" spans="1:158" s="1" customFormat="1">
      <c r="B36" s="8"/>
      <c r="C36" s="27"/>
      <c r="D36" s="27"/>
      <c r="E36" s="27"/>
      <c r="F36" s="27"/>
      <c r="G36" s="27"/>
      <c r="H36" s="15"/>
      <c r="I36" s="15"/>
      <c r="J36" s="15"/>
      <c r="K36" s="15"/>
      <c r="L36" s="48"/>
      <c r="M36" s="2"/>
      <c r="N36" s="2"/>
      <c r="O36" s="48"/>
      <c r="P36" s="48"/>
      <c r="Q36" s="48"/>
    </row>
    <row r="37" spans="1:158" s="1" customFormat="1">
      <c r="B37" s="8"/>
      <c r="C37" s="27"/>
      <c r="D37" s="27"/>
      <c r="E37" s="27"/>
      <c r="F37" s="27"/>
      <c r="G37" s="27"/>
      <c r="H37" s="15"/>
      <c r="I37" s="15"/>
      <c r="J37" s="15"/>
      <c r="K37" s="15"/>
      <c r="L37" s="48"/>
      <c r="M37" s="2"/>
      <c r="N37" s="2"/>
      <c r="O37" s="48"/>
      <c r="P37" s="48"/>
      <c r="Q37" s="48"/>
    </row>
    <row r="38" spans="1:158" ht="26.4">
      <c r="B38" s="28"/>
      <c r="C38" s="387" t="s">
        <v>32</v>
      </c>
      <c r="D38" s="387" t="s">
        <v>33</v>
      </c>
      <c r="E38" s="387" t="s">
        <v>36</v>
      </c>
      <c r="F38" s="396" t="s">
        <v>66</v>
      </c>
      <c r="G38" s="29"/>
      <c r="H38" s="398" t="s">
        <v>35</v>
      </c>
      <c r="I38" s="398" t="s">
        <v>65</v>
      </c>
      <c r="J38" s="398" t="s">
        <v>37</v>
      </c>
      <c r="K38" s="30" t="s">
        <v>82</v>
      </c>
      <c r="L38" s="368" t="s">
        <v>45</v>
      </c>
      <c r="M38" s="2"/>
      <c r="N38" s="2"/>
      <c r="O38" s="48"/>
      <c r="P38" s="48"/>
      <c r="Q38" s="48"/>
    </row>
    <row r="39" spans="1:158" ht="13.8">
      <c r="B39" s="17"/>
      <c r="C39" s="45"/>
      <c r="D39" s="45" t="s">
        <v>67</v>
      </c>
      <c r="E39" s="45" t="s">
        <v>67</v>
      </c>
      <c r="F39" s="382" t="s">
        <v>68</v>
      </c>
      <c r="G39" s="18"/>
      <c r="H39" s="389" t="s">
        <v>34</v>
      </c>
      <c r="I39" s="389" t="s">
        <v>34</v>
      </c>
      <c r="J39" s="389" t="s">
        <v>34</v>
      </c>
      <c r="K39" s="19" t="s">
        <v>83</v>
      </c>
      <c r="L39" s="393"/>
      <c r="M39" s="2"/>
      <c r="N39" s="2"/>
      <c r="O39" s="48"/>
      <c r="P39" s="48"/>
      <c r="Q39" s="48"/>
    </row>
    <row r="40" spans="1:158">
      <c r="B40" s="17"/>
      <c r="C40" s="45"/>
      <c r="D40" s="45"/>
      <c r="E40" s="45"/>
      <c r="F40" s="382"/>
      <c r="G40" s="18"/>
      <c r="H40" s="389"/>
      <c r="I40" s="389"/>
      <c r="J40" s="389"/>
      <c r="K40" s="19"/>
      <c r="L40" s="369"/>
      <c r="M40" s="2"/>
      <c r="N40" s="2"/>
      <c r="O40" s="48"/>
      <c r="P40" s="48"/>
      <c r="Q40" s="48"/>
    </row>
    <row r="41" spans="1:158" ht="12.75" customHeight="1">
      <c r="B41" s="17"/>
      <c r="C41" s="45"/>
      <c r="D41" s="45"/>
      <c r="E41" s="45"/>
      <c r="F41" s="382"/>
      <c r="G41" s="18"/>
      <c r="H41" s="389"/>
      <c r="I41" s="389"/>
      <c r="J41" s="389"/>
      <c r="K41" s="19"/>
      <c r="L41" s="189" t="s">
        <v>53</v>
      </c>
      <c r="M41" s="2"/>
      <c r="N41" s="2"/>
      <c r="O41" s="48"/>
      <c r="P41" s="48"/>
      <c r="Q41" s="48"/>
    </row>
    <row r="42" spans="1:158">
      <c r="B42" s="20" t="s">
        <v>81</v>
      </c>
      <c r="C42" s="46" t="s">
        <v>38</v>
      </c>
      <c r="D42" s="46" t="s">
        <v>38</v>
      </c>
      <c r="E42" s="46" t="s">
        <v>38</v>
      </c>
      <c r="F42" s="383" t="s">
        <v>38</v>
      </c>
      <c r="G42" s="21"/>
      <c r="H42" s="390" t="s">
        <v>38</v>
      </c>
      <c r="I42" s="390" t="s">
        <v>38</v>
      </c>
      <c r="J42" s="390" t="s">
        <v>38</v>
      </c>
      <c r="K42" s="22"/>
      <c r="L42" s="23" t="s">
        <v>38</v>
      </c>
      <c r="M42" s="2"/>
      <c r="N42" s="2"/>
      <c r="O42" s="48"/>
      <c r="P42" s="48"/>
      <c r="Q42" s="48"/>
    </row>
    <row r="43" spans="1:158" s="35" customFormat="1">
      <c r="A43" s="1"/>
      <c r="B43" s="31" t="s">
        <v>62</v>
      </c>
      <c r="C43" s="395" t="s">
        <v>41</v>
      </c>
      <c r="D43" s="395" t="s">
        <v>78</v>
      </c>
      <c r="E43" s="395"/>
      <c r="F43" s="397" t="s">
        <v>41</v>
      </c>
      <c r="G43" s="32"/>
      <c r="H43" s="399"/>
      <c r="I43" s="399"/>
      <c r="J43" s="399" t="s">
        <v>41</v>
      </c>
      <c r="K43" s="33"/>
      <c r="L43" s="34" t="s">
        <v>41</v>
      </c>
      <c r="M43" s="2"/>
      <c r="N43" s="2"/>
      <c r="O43" s="48"/>
      <c r="P43" s="48"/>
      <c r="Q43" s="4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row>
    <row r="44" spans="1:158" s="35" customFormat="1">
      <c r="A44" s="1"/>
      <c r="B44" s="24" t="s">
        <v>63</v>
      </c>
      <c r="C44" s="47" t="s">
        <v>41</v>
      </c>
      <c r="D44" s="47" t="s">
        <v>78</v>
      </c>
      <c r="E44" s="47"/>
      <c r="F44" s="384" t="s">
        <v>41</v>
      </c>
      <c r="G44" s="25"/>
      <c r="H44" s="391"/>
      <c r="I44" s="391"/>
      <c r="J44" s="391" t="s">
        <v>41</v>
      </c>
      <c r="K44" s="26"/>
      <c r="L44" s="23" t="s">
        <v>41</v>
      </c>
      <c r="M44" s="2"/>
      <c r="N44" s="2"/>
      <c r="O44" s="48"/>
      <c r="P44" s="48"/>
      <c r="Q44" s="4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row>
    <row r="45" spans="1:158" s="35" customFormat="1">
      <c r="A45" s="1"/>
      <c r="B45" s="39"/>
      <c r="C45" s="27"/>
      <c r="D45" s="27"/>
      <c r="E45" s="27"/>
      <c r="F45" s="27"/>
      <c r="G45" s="1"/>
      <c r="H45" s="1"/>
      <c r="I45" s="1"/>
      <c r="J45" s="1"/>
      <c r="K45" s="1"/>
      <c r="L45" s="1"/>
      <c r="M45" s="1"/>
      <c r="N45" s="1"/>
      <c r="O45" s="48"/>
      <c r="P45" s="48"/>
      <c r="Q45" s="4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row>
    <row r="46" spans="1:158" s="1" customFormat="1" ht="151.19999999999999">
      <c r="B46" s="12" t="s">
        <v>480</v>
      </c>
      <c r="C46" s="165" t="s">
        <v>15</v>
      </c>
      <c r="D46" s="165" t="s">
        <v>91</v>
      </c>
      <c r="E46" s="165" t="s">
        <v>14</v>
      </c>
      <c r="F46" s="165" t="s">
        <v>92</v>
      </c>
      <c r="G46" s="165" t="s">
        <v>16</v>
      </c>
      <c r="H46" s="165" t="s">
        <v>17</v>
      </c>
      <c r="I46" s="165" t="s">
        <v>18</v>
      </c>
      <c r="J46" s="165" t="s">
        <v>19</v>
      </c>
      <c r="K46" s="165" t="s">
        <v>20</v>
      </c>
      <c r="L46" s="165" t="s">
        <v>21</v>
      </c>
      <c r="M46" s="165" t="s">
        <v>52</v>
      </c>
      <c r="N46" s="165" t="s">
        <v>22</v>
      </c>
      <c r="O46" s="165" t="s">
        <v>23</v>
      </c>
      <c r="P46" s="165" t="s">
        <v>24</v>
      </c>
      <c r="Q46" s="165" t="s">
        <v>25</v>
      </c>
      <c r="R46" s="165" t="s">
        <v>26</v>
      </c>
      <c r="S46" s="165" t="s">
        <v>27</v>
      </c>
      <c r="T46" s="165" t="s">
        <v>28</v>
      </c>
      <c r="U46" s="165" t="s">
        <v>29</v>
      </c>
      <c r="V46" s="165" t="s">
        <v>30</v>
      </c>
      <c r="W46" s="14"/>
      <c r="X46" s="14"/>
      <c r="Y46" s="14"/>
      <c r="Z46" s="14"/>
    </row>
    <row r="47" spans="1:158" s="1" customFormat="1">
      <c r="B47" s="163" t="s">
        <v>479</v>
      </c>
      <c r="C47" s="166" t="s">
        <v>38</v>
      </c>
      <c r="D47" s="166" t="s">
        <v>38</v>
      </c>
      <c r="E47" s="166" t="s">
        <v>38</v>
      </c>
      <c r="F47" s="166" t="s">
        <v>38</v>
      </c>
      <c r="G47" s="166" t="s">
        <v>38</v>
      </c>
      <c r="H47" s="166" t="s">
        <v>38</v>
      </c>
      <c r="I47" s="166" t="s">
        <v>38</v>
      </c>
      <c r="J47" s="166" t="s">
        <v>38</v>
      </c>
      <c r="K47" s="166" t="s">
        <v>38</v>
      </c>
      <c r="L47" s="166" t="s">
        <v>38</v>
      </c>
      <c r="M47" s="166" t="s">
        <v>38</v>
      </c>
      <c r="N47" s="166" t="s">
        <v>38</v>
      </c>
      <c r="O47" s="166" t="s">
        <v>38</v>
      </c>
      <c r="P47" s="166" t="s">
        <v>38</v>
      </c>
      <c r="Q47" s="166" t="s">
        <v>38</v>
      </c>
      <c r="R47" s="166" t="s">
        <v>38</v>
      </c>
      <c r="S47" s="166" t="s">
        <v>38</v>
      </c>
      <c r="T47" s="166" t="s">
        <v>38</v>
      </c>
      <c r="U47" s="166" t="s">
        <v>38</v>
      </c>
      <c r="V47" s="166" t="s">
        <v>38</v>
      </c>
    </row>
    <row r="48" spans="1:158" s="1" customFormat="1">
      <c r="B48" s="163" t="s">
        <v>131</v>
      </c>
      <c r="C48" s="166">
        <f>+C49+C50</f>
        <v>2840</v>
      </c>
      <c r="D48" s="166">
        <f>+D49+D50</f>
        <v>2840</v>
      </c>
      <c r="E48" s="166">
        <f>+E49+E50</f>
        <v>1370</v>
      </c>
      <c r="F48" s="166">
        <f t="shared" ref="F48:V48" si="2">+F49+F50</f>
        <v>1370</v>
      </c>
      <c r="G48" s="166">
        <f t="shared" si="2"/>
        <v>490</v>
      </c>
      <c r="H48" s="166">
        <f t="shared" si="2"/>
        <v>1470</v>
      </c>
      <c r="I48" s="166">
        <f t="shared" si="2"/>
        <v>1870</v>
      </c>
      <c r="J48" s="166">
        <f t="shared" si="2"/>
        <v>1570</v>
      </c>
      <c r="K48" s="166">
        <f t="shared" si="2"/>
        <v>1850</v>
      </c>
      <c r="L48" s="166">
        <f t="shared" si="2"/>
        <v>1850</v>
      </c>
      <c r="M48" s="166">
        <f t="shared" si="2"/>
        <v>1850</v>
      </c>
      <c r="N48" s="166">
        <f t="shared" si="2"/>
        <v>1850</v>
      </c>
      <c r="O48" s="166">
        <f t="shared" si="2"/>
        <v>3460</v>
      </c>
      <c r="P48" s="166">
        <f t="shared" si="2"/>
        <v>2710</v>
      </c>
      <c r="Q48" s="166">
        <f t="shared" si="2"/>
        <v>3092</v>
      </c>
      <c r="R48" s="166">
        <f t="shared" si="2"/>
        <v>990</v>
      </c>
      <c r="S48" s="166">
        <f t="shared" si="2"/>
        <v>1250</v>
      </c>
      <c r="T48" s="166">
        <f t="shared" si="2"/>
        <v>7980</v>
      </c>
      <c r="U48" s="166">
        <f t="shared" si="2"/>
        <v>4820</v>
      </c>
      <c r="V48" s="166">
        <f t="shared" si="2"/>
        <v>6000</v>
      </c>
    </row>
    <row r="49" spans="1:158" s="1" customFormat="1">
      <c r="B49" s="163" t="s">
        <v>33</v>
      </c>
      <c r="C49" s="166">
        <f>D16</f>
        <v>1170</v>
      </c>
      <c r="D49" s="167">
        <v>1170</v>
      </c>
      <c r="E49" s="167">
        <v>370</v>
      </c>
      <c r="F49" s="167">
        <v>370</v>
      </c>
      <c r="G49" s="167">
        <v>160</v>
      </c>
      <c r="H49" s="167">
        <v>560</v>
      </c>
      <c r="I49" s="167">
        <v>710</v>
      </c>
      <c r="J49" s="167">
        <v>600</v>
      </c>
      <c r="K49" s="167">
        <v>750</v>
      </c>
      <c r="L49" s="167">
        <v>750</v>
      </c>
      <c r="M49" s="167">
        <v>750</v>
      </c>
      <c r="N49" s="167">
        <v>750</v>
      </c>
      <c r="O49" s="167">
        <v>1430</v>
      </c>
      <c r="P49" s="167">
        <v>1110</v>
      </c>
      <c r="Q49" s="167">
        <v>1270</v>
      </c>
      <c r="R49" s="167">
        <v>390</v>
      </c>
      <c r="S49" s="167">
        <v>500</v>
      </c>
      <c r="T49" s="167">
        <v>3330</v>
      </c>
      <c r="U49" s="167">
        <v>2000</v>
      </c>
      <c r="V49" s="167">
        <v>2500</v>
      </c>
    </row>
    <row r="50" spans="1:158" s="1" customFormat="1">
      <c r="B50" s="163" t="s">
        <v>132</v>
      </c>
      <c r="C50" s="166">
        <f>E16</f>
        <v>1670</v>
      </c>
      <c r="D50" s="167">
        <v>1670</v>
      </c>
      <c r="E50" s="167">
        <v>1000</v>
      </c>
      <c r="F50" s="167">
        <v>1000</v>
      </c>
      <c r="G50" s="167">
        <v>330</v>
      </c>
      <c r="H50" s="167">
        <v>910</v>
      </c>
      <c r="I50" s="167">
        <v>1160</v>
      </c>
      <c r="J50" s="167">
        <v>970</v>
      </c>
      <c r="K50" s="167">
        <v>1100</v>
      </c>
      <c r="L50" s="167">
        <v>1100</v>
      </c>
      <c r="M50" s="167">
        <v>1100</v>
      </c>
      <c r="N50" s="167">
        <v>1100</v>
      </c>
      <c r="O50" s="167">
        <v>2030</v>
      </c>
      <c r="P50" s="167">
        <v>1600</v>
      </c>
      <c r="Q50" s="167">
        <v>1822</v>
      </c>
      <c r="R50" s="167">
        <v>600</v>
      </c>
      <c r="S50" s="167">
        <v>750</v>
      </c>
      <c r="T50" s="167">
        <v>4650</v>
      </c>
      <c r="U50" s="167">
        <v>2820</v>
      </c>
      <c r="V50" s="167">
        <v>3500</v>
      </c>
    </row>
    <row r="51" spans="1:158" s="1" customFormat="1">
      <c r="B51" s="163" t="s">
        <v>133</v>
      </c>
      <c r="C51" s="168">
        <v>360</v>
      </c>
      <c r="D51" s="168">
        <v>360</v>
      </c>
      <c r="E51" s="168">
        <v>340</v>
      </c>
      <c r="F51" s="168">
        <v>340</v>
      </c>
      <c r="G51" s="168">
        <v>140</v>
      </c>
      <c r="H51" s="168">
        <v>390</v>
      </c>
      <c r="I51" s="168">
        <v>290</v>
      </c>
      <c r="J51" s="168">
        <v>400</v>
      </c>
      <c r="K51" s="168"/>
      <c r="L51" s="168"/>
      <c r="M51" s="168"/>
      <c r="N51" s="168"/>
      <c r="O51" s="168">
        <v>950</v>
      </c>
      <c r="P51" s="168"/>
      <c r="Q51" s="168"/>
      <c r="R51" s="168">
        <v>260</v>
      </c>
      <c r="S51" s="168">
        <v>330</v>
      </c>
      <c r="T51" s="168"/>
      <c r="U51" s="168"/>
      <c r="V51" s="168"/>
    </row>
    <row r="52" spans="1:158" s="1" customFormat="1">
      <c r="B52" s="163" t="s">
        <v>65</v>
      </c>
      <c r="C52" s="168">
        <v>30</v>
      </c>
      <c r="D52" s="168">
        <v>30</v>
      </c>
      <c r="E52" s="168">
        <v>40</v>
      </c>
      <c r="F52" s="168">
        <v>40</v>
      </c>
      <c r="G52" s="168">
        <v>20</v>
      </c>
      <c r="H52" s="168">
        <v>70</v>
      </c>
      <c r="I52" s="168">
        <v>40</v>
      </c>
      <c r="J52" s="168">
        <v>50</v>
      </c>
      <c r="K52" s="168">
        <v>1360</v>
      </c>
      <c r="L52" s="168">
        <v>1360</v>
      </c>
      <c r="M52" s="168">
        <v>1360</v>
      </c>
      <c r="N52" s="168">
        <v>1360</v>
      </c>
      <c r="O52" s="168">
        <v>200</v>
      </c>
      <c r="P52" s="168">
        <v>20</v>
      </c>
      <c r="Q52" s="168">
        <v>300</v>
      </c>
      <c r="R52" s="168">
        <v>40</v>
      </c>
      <c r="S52" s="168">
        <v>60</v>
      </c>
      <c r="T52" s="168">
        <v>60</v>
      </c>
      <c r="U52" s="168">
        <v>60</v>
      </c>
      <c r="V52" s="168">
        <v>60</v>
      </c>
    </row>
    <row r="53" spans="1:158" s="1" customFormat="1">
      <c r="B53" s="163" t="s">
        <v>489</v>
      </c>
      <c r="C53" s="168">
        <v>3230</v>
      </c>
      <c r="D53" s="168">
        <v>3230</v>
      </c>
      <c r="E53" s="168">
        <v>1750</v>
      </c>
      <c r="F53" s="168">
        <v>1750</v>
      </c>
      <c r="G53" s="168">
        <v>650</v>
      </c>
      <c r="H53" s="168">
        <v>1930</v>
      </c>
      <c r="I53" s="168">
        <v>2200</v>
      </c>
      <c r="J53" s="168">
        <v>2020</v>
      </c>
      <c r="K53" s="168">
        <v>4410</v>
      </c>
      <c r="L53" s="168">
        <v>4410</v>
      </c>
      <c r="M53" s="168">
        <v>3810</v>
      </c>
      <c r="N53" s="168">
        <v>3510</v>
      </c>
      <c r="O53" s="168">
        <v>4610</v>
      </c>
      <c r="P53" s="168">
        <v>2730</v>
      </c>
      <c r="Q53" s="168">
        <v>4992</v>
      </c>
      <c r="R53" s="168">
        <v>1290</v>
      </c>
      <c r="S53" s="168">
        <v>1640</v>
      </c>
      <c r="T53" s="168">
        <v>8040</v>
      </c>
      <c r="U53" s="168">
        <v>4880</v>
      </c>
      <c r="V53" s="168">
        <v>6060</v>
      </c>
    </row>
    <row r="54" spans="1:158" s="1" customFormat="1">
      <c r="B54" s="163" t="s">
        <v>478</v>
      </c>
      <c r="C54" s="380">
        <v>9630</v>
      </c>
      <c r="D54" s="380">
        <v>9630</v>
      </c>
      <c r="E54" s="380">
        <v>3063</v>
      </c>
      <c r="F54" s="380">
        <v>3063</v>
      </c>
      <c r="G54" s="380">
        <v>590</v>
      </c>
      <c r="H54" s="380">
        <v>1960</v>
      </c>
      <c r="I54" s="380">
        <v>2480</v>
      </c>
      <c r="J54" s="380">
        <v>2110</v>
      </c>
      <c r="K54" s="380">
        <v>2810</v>
      </c>
      <c r="L54" s="380">
        <v>2810</v>
      </c>
      <c r="M54" s="380">
        <v>2810</v>
      </c>
      <c r="N54" s="380">
        <v>2810</v>
      </c>
      <c r="O54" s="380">
        <v>5360</v>
      </c>
      <c r="P54" s="380">
        <v>4170</v>
      </c>
      <c r="Q54" s="380">
        <v>4780</v>
      </c>
      <c r="R54" s="380">
        <v>1458</v>
      </c>
      <c r="S54" s="380">
        <v>1880</v>
      </c>
      <c r="T54" s="380">
        <v>12500</v>
      </c>
      <c r="U54" s="380">
        <v>7500</v>
      </c>
      <c r="V54" s="380">
        <v>9380</v>
      </c>
    </row>
    <row r="55" spans="1:158" s="1" customFormat="1" ht="37.799999999999997">
      <c r="B55" s="163" t="s">
        <v>490</v>
      </c>
      <c r="C55" s="166" t="s">
        <v>134</v>
      </c>
      <c r="D55" s="166" t="s">
        <v>134</v>
      </c>
      <c r="E55" s="166" t="s">
        <v>134</v>
      </c>
      <c r="F55" s="166" t="s">
        <v>134</v>
      </c>
      <c r="G55" s="166" t="s">
        <v>134</v>
      </c>
      <c r="H55" s="166" t="s">
        <v>134</v>
      </c>
      <c r="I55" s="166" t="s">
        <v>134</v>
      </c>
      <c r="J55" s="166" t="s">
        <v>134</v>
      </c>
      <c r="K55" s="166" t="s">
        <v>134</v>
      </c>
      <c r="L55" s="166" t="s">
        <v>134</v>
      </c>
      <c r="M55" s="166" t="s">
        <v>134</v>
      </c>
      <c r="N55" s="166" t="s">
        <v>134</v>
      </c>
      <c r="O55" s="166" t="s">
        <v>134</v>
      </c>
      <c r="P55" s="166" t="s">
        <v>134</v>
      </c>
      <c r="Q55" s="166" t="s">
        <v>134</v>
      </c>
      <c r="R55" s="166" t="s">
        <v>134</v>
      </c>
      <c r="S55" s="166" t="s">
        <v>134</v>
      </c>
      <c r="T55" s="166" t="s">
        <v>134</v>
      </c>
      <c r="U55" s="166" t="s">
        <v>134</v>
      </c>
      <c r="V55" s="166" t="s">
        <v>134</v>
      </c>
    </row>
    <row r="56" spans="1:158" s="1" customFormat="1">
      <c r="O56" s="2"/>
      <c r="P56" s="2"/>
      <c r="Q56" s="2"/>
    </row>
    <row r="57" spans="1:158" s="35" customFormat="1">
      <c r="A57" s="1"/>
      <c r="B57" s="39"/>
      <c r="C57" s="27"/>
      <c r="D57" s="27"/>
      <c r="E57" s="27"/>
      <c r="F57" s="27"/>
      <c r="G57" s="1"/>
      <c r="H57" s="1"/>
      <c r="I57" s="1"/>
      <c r="J57" s="1"/>
      <c r="K57" s="1"/>
      <c r="L57" s="1"/>
      <c r="M57" s="1"/>
      <c r="N57" s="1"/>
      <c r="O57" s="48"/>
      <c r="P57" s="48"/>
      <c r="Q57" s="4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row>
    <row r="58" spans="1:158" s="1" customFormat="1">
      <c r="B58" s="8"/>
      <c r="C58" s="15"/>
      <c r="D58" s="15"/>
      <c r="E58" s="15"/>
      <c r="F58" s="15"/>
      <c r="G58" s="15"/>
      <c r="H58" s="15"/>
      <c r="I58" s="15"/>
      <c r="J58" s="15"/>
      <c r="K58" s="15"/>
      <c r="L58" s="15"/>
      <c r="M58" s="48"/>
      <c r="N58" s="48"/>
      <c r="O58" s="48"/>
      <c r="P58" s="48"/>
      <c r="Q58" s="48"/>
    </row>
    <row r="59" spans="1:158" s="1" customFormat="1" ht="19.8">
      <c r="B59" s="41" t="s">
        <v>61</v>
      </c>
    </row>
    <row r="60" spans="1:158">
      <c r="B60" s="39"/>
      <c r="D60" s="37"/>
      <c r="G60" s="1"/>
      <c r="H60" s="1"/>
      <c r="I60" s="1"/>
      <c r="J60" s="1"/>
      <c r="K60" s="1"/>
      <c r="L60" s="1"/>
      <c r="M60" s="1"/>
      <c r="N60" s="1"/>
    </row>
    <row r="61" spans="1:158">
      <c r="B61" s="17" t="s">
        <v>60</v>
      </c>
      <c r="D61" s="38"/>
      <c r="G61" s="1"/>
      <c r="H61" s="1"/>
      <c r="I61" s="1"/>
      <c r="J61" s="1"/>
      <c r="K61" s="1"/>
      <c r="L61" s="1"/>
      <c r="M61" s="1"/>
      <c r="N61" s="1"/>
    </row>
    <row r="62" spans="1:158">
      <c r="B62" s="36" t="s">
        <v>102</v>
      </c>
      <c r="C62" s="39"/>
      <c r="D62" s="2"/>
      <c r="G62" s="1"/>
      <c r="H62" s="1"/>
      <c r="I62" s="1"/>
      <c r="J62" s="1"/>
      <c r="K62" s="1"/>
      <c r="L62" s="1"/>
      <c r="M62" s="1"/>
      <c r="N62" s="1"/>
    </row>
    <row r="63" spans="1:158" s="35" customFormat="1">
      <c r="A63" s="1"/>
      <c r="B63" s="36" t="s">
        <v>180</v>
      </c>
      <c r="C63" s="1"/>
      <c r="D63" s="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row>
    <row r="64" spans="1:158">
      <c r="B64" s="36" t="s">
        <v>318</v>
      </c>
      <c r="D64" s="2"/>
      <c r="G64" s="1"/>
      <c r="H64" s="1"/>
      <c r="I64" s="1"/>
      <c r="J64" s="1"/>
      <c r="K64" s="1"/>
      <c r="L64" s="1"/>
      <c r="M64" s="1"/>
      <c r="N64" s="1"/>
    </row>
    <row r="65" spans="2:32" s="1" customFormat="1">
      <c r="B65" s="36" t="s">
        <v>452</v>
      </c>
      <c r="C65" s="6"/>
      <c r="D65" s="7"/>
    </row>
    <row r="66" spans="2:32" s="1" customFormat="1">
      <c r="B66" s="2"/>
      <c r="C66" s="6"/>
      <c r="D66" s="6"/>
      <c r="N66" s="10"/>
      <c r="O66" s="12"/>
      <c r="P66" s="12"/>
      <c r="Q66" s="37"/>
      <c r="R66" s="37"/>
    </row>
    <row r="67" spans="2:32" s="1" customFormat="1">
      <c r="F67" s="2"/>
      <c r="G67" s="2"/>
    </row>
    <row r="68" spans="2:32" s="1" customFormat="1" ht="19.8">
      <c r="B68" s="41" t="s">
        <v>592</v>
      </c>
      <c r="C68" s="37"/>
      <c r="D68" s="37"/>
      <c r="F68" s="2"/>
      <c r="G68" s="2"/>
    </row>
    <row r="69" spans="2:32" s="1" customFormat="1" ht="16.2">
      <c r="B69" s="477" t="s">
        <v>591</v>
      </c>
      <c r="F69" s="2"/>
      <c r="G69" s="2"/>
    </row>
    <row r="70" spans="2:32" s="1" customFormat="1">
      <c r="C70" s="37"/>
      <c r="D70" s="37"/>
      <c r="F70" s="2"/>
      <c r="G70" s="2"/>
      <c r="K70" s="2"/>
      <c r="L70" s="2"/>
    </row>
    <row r="71" spans="2:32" s="1" customFormat="1">
      <c r="C71" s="37"/>
      <c r="D71" s="37"/>
      <c r="F71" s="2"/>
      <c r="G71" s="2"/>
      <c r="K71" s="2"/>
      <c r="L71" s="2"/>
    </row>
    <row r="72" spans="2:32" s="1" customFormat="1" ht="16.2">
      <c r="B72" s="186" t="s">
        <v>179</v>
      </c>
      <c r="C72" s="186"/>
      <c r="D72" s="186"/>
      <c r="E72" s="186"/>
      <c r="F72" s="186"/>
      <c r="L72" s="2"/>
    </row>
    <row r="73" spans="2:32" s="1" customFormat="1">
      <c r="B73" s="42" t="s">
        <v>31</v>
      </c>
      <c r="C73" s="177" t="s">
        <v>40</v>
      </c>
      <c r="D73" s="178"/>
      <c r="E73" s="178"/>
      <c r="F73" s="179"/>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row>
    <row r="74" spans="2:32" s="1" customFormat="1">
      <c r="B74" s="42"/>
      <c r="C74" s="180" t="s">
        <v>117</v>
      </c>
      <c r="D74" s="181"/>
      <c r="E74" s="181"/>
      <c r="F74" s="182"/>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row r="75" spans="2:32" s="1" customFormat="1" ht="25.2">
      <c r="B75" s="38"/>
      <c r="C75" s="183" t="s">
        <v>89</v>
      </c>
      <c r="D75" s="184" t="s">
        <v>139</v>
      </c>
      <c r="E75" s="184" t="s">
        <v>138</v>
      </c>
      <c r="F75" s="373" t="s">
        <v>291</v>
      </c>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row>
    <row r="76" spans="2:32" s="1" customFormat="1">
      <c r="B76" s="43" t="s">
        <v>59</v>
      </c>
      <c r="C76" s="372" t="s">
        <v>38</v>
      </c>
      <c r="D76" s="372" t="s">
        <v>38</v>
      </c>
      <c r="E76" s="372" t="s">
        <v>38</v>
      </c>
      <c r="F76" s="372" t="s">
        <v>38</v>
      </c>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2:32" s="1" customFormat="1">
      <c r="B77" s="44" t="s">
        <v>15</v>
      </c>
      <c r="C77" s="372">
        <v>0.5</v>
      </c>
      <c r="D77" s="372">
        <v>0</v>
      </c>
      <c r="E77" s="372">
        <f t="shared" ref="E77:E96" si="3">+C77+D77</f>
        <v>0.5</v>
      </c>
      <c r="F77" s="372">
        <v>0</v>
      </c>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row>
    <row r="78" spans="2:32" s="1" customFormat="1">
      <c r="B78" s="44" t="s">
        <v>91</v>
      </c>
      <c r="C78" s="372">
        <v>0.5</v>
      </c>
      <c r="D78" s="372">
        <v>0</v>
      </c>
      <c r="E78" s="372">
        <f t="shared" si="3"/>
        <v>0.5</v>
      </c>
      <c r="F78" s="372">
        <v>0</v>
      </c>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row>
    <row r="79" spans="2:32" s="1" customFormat="1">
      <c r="B79" s="44" t="s">
        <v>14</v>
      </c>
      <c r="C79" s="372">
        <v>0.5</v>
      </c>
      <c r="D79" s="372">
        <v>0</v>
      </c>
      <c r="E79" s="372">
        <f t="shared" si="3"/>
        <v>0.5</v>
      </c>
      <c r="F79" s="372">
        <v>0</v>
      </c>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row>
    <row r="80" spans="2:32" s="1" customFormat="1">
      <c r="B80" s="44" t="s">
        <v>92</v>
      </c>
      <c r="C80" s="372">
        <v>0.5</v>
      </c>
      <c r="D80" s="372">
        <v>0</v>
      </c>
      <c r="E80" s="372">
        <f t="shared" si="3"/>
        <v>0.5</v>
      </c>
      <c r="F80" s="372">
        <v>0</v>
      </c>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row>
    <row r="81" spans="2:32" s="1" customFormat="1">
      <c r="B81" s="44" t="s">
        <v>16</v>
      </c>
      <c r="C81" s="372">
        <v>0.5</v>
      </c>
      <c r="D81" s="372">
        <v>0</v>
      </c>
      <c r="E81" s="372">
        <f t="shared" si="3"/>
        <v>0.5</v>
      </c>
      <c r="F81" s="372">
        <v>0</v>
      </c>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row>
    <row r="82" spans="2:32" s="1" customFormat="1">
      <c r="B82" s="44" t="s">
        <v>17</v>
      </c>
      <c r="C82" s="372">
        <v>0.5</v>
      </c>
      <c r="D82" s="372">
        <v>0</v>
      </c>
      <c r="E82" s="372">
        <f t="shared" si="3"/>
        <v>0.5</v>
      </c>
      <c r="F82" s="372">
        <v>0</v>
      </c>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row>
    <row r="83" spans="2:32" s="1" customFormat="1">
      <c r="B83" s="44" t="s">
        <v>18</v>
      </c>
      <c r="C83" s="372">
        <v>0.5</v>
      </c>
      <c r="D83" s="372">
        <v>0</v>
      </c>
      <c r="E83" s="372">
        <f t="shared" si="3"/>
        <v>0.5</v>
      </c>
      <c r="F83" s="372">
        <v>0</v>
      </c>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2:32" s="1" customFormat="1">
      <c r="B84" s="44" t="s">
        <v>19</v>
      </c>
      <c r="C84" s="372">
        <v>0.5</v>
      </c>
      <c r="D84" s="372">
        <v>0</v>
      </c>
      <c r="E84" s="372">
        <f t="shared" si="3"/>
        <v>0.5</v>
      </c>
      <c r="F84" s="372">
        <v>0</v>
      </c>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2:32" s="1" customFormat="1">
      <c r="B85" s="44" t="s">
        <v>20</v>
      </c>
      <c r="C85" s="372">
        <v>0.5</v>
      </c>
      <c r="D85" s="372">
        <v>0</v>
      </c>
      <c r="E85" s="372">
        <f t="shared" si="3"/>
        <v>0.5</v>
      </c>
      <c r="F85" s="372">
        <v>0</v>
      </c>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2:32" s="1" customFormat="1">
      <c r="B86" s="44" t="s">
        <v>21</v>
      </c>
      <c r="C86" s="372">
        <v>0.3</v>
      </c>
      <c r="D86" s="372">
        <v>0.2</v>
      </c>
      <c r="E86" s="372">
        <f t="shared" si="3"/>
        <v>0.5</v>
      </c>
      <c r="F86" s="372">
        <v>0</v>
      </c>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2:32" s="1" customFormat="1">
      <c r="B87" s="44" t="s">
        <v>52</v>
      </c>
      <c r="C87" s="372">
        <v>0.8</v>
      </c>
      <c r="D87" s="372">
        <v>0</v>
      </c>
      <c r="E87" s="372">
        <f t="shared" si="3"/>
        <v>0.8</v>
      </c>
      <c r="F87" s="372">
        <v>0</v>
      </c>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2:32" s="1" customFormat="1">
      <c r="B88" s="44" t="s">
        <v>22</v>
      </c>
      <c r="C88" s="372">
        <v>0.5</v>
      </c>
      <c r="D88" s="372">
        <v>0</v>
      </c>
      <c r="E88" s="372">
        <f t="shared" si="3"/>
        <v>0.5</v>
      </c>
      <c r="F88" s="372">
        <v>0</v>
      </c>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2:32" s="1" customFormat="1">
      <c r="B89" s="44" t="s">
        <v>23</v>
      </c>
      <c r="C89" s="372">
        <v>0.3</v>
      </c>
      <c r="D89" s="372">
        <v>0.2</v>
      </c>
      <c r="E89" s="372">
        <f t="shared" si="3"/>
        <v>0.5</v>
      </c>
      <c r="F89" s="372">
        <v>0</v>
      </c>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2:32" s="1" customFormat="1">
      <c r="B90" s="44" t="s">
        <v>24</v>
      </c>
      <c r="C90" s="372">
        <v>0.3</v>
      </c>
      <c r="D90" s="372">
        <v>0.2</v>
      </c>
      <c r="E90" s="372">
        <f t="shared" si="3"/>
        <v>0.5</v>
      </c>
      <c r="F90" s="372">
        <v>0</v>
      </c>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2:32" s="1" customFormat="1">
      <c r="B91" s="44" t="s">
        <v>25</v>
      </c>
      <c r="C91" s="372">
        <v>0.5</v>
      </c>
      <c r="D91" s="372">
        <v>0</v>
      </c>
      <c r="E91" s="372">
        <f t="shared" si="3"/>
        <v>0.5</v>
      </c>
      <c r="F91" s="372">
        <v>0</v>
      </c>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2:32" s="1" customFormat="1">
      <c r="B92" s="44" t="s">
        <v>26</v>
      </c>
      <c r="C92" s="372">
        <v>0.5</v>
      </c>
      <c r="D92" s="372">
        <v>0</v>
      </c>
      <c r="E92" s="372">
        <f t="shared" si="3"/>
        <v>0.5</v>
      </c>
      <c r="F92" s="372">
        <v>0</v>
      </c>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2:32" s="1" customFormat="1">
      <c r="B93" s="44" t="s">
        <v>27</v>
      </c>
      <c r="C93" s="372">
        <v>0.5</v>
      </c>
      <c r="D93" s="372">
        <v>0</v>
      </c>
      <c r="E93" s="372">
        <f t="shared" si="3"/>
        <v>0.5</v>
      </c>
      <c r="F93" s="372">
        <v>0</v>
      </c>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2:32" s="1" customFormat="1">
      <c r="B94" s="44" t="s">
        <v>28</v>
      </c>
      <c r="C94" s="372">
        <v>0.3</v>
      </c>
      <c r="D94" s="372">
        <v>0.2</v>
      </c>
      <c r="E94" s="372">
        <f t="shared" si="3"/>
        <v>0.5</v>
      </c>
      <c r="F94" s="372">
        <v>0</v>
      </c>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2:32" s="1" customFormat="1">
      <c r="B95" s="44" t="s">
        <v>29</v>
      </c>
      <c r="C95" s="372">
        <v>0.3</v>
      </c>
      <c r="D95" s="372">
        <v>0.2</v>
      </c>
      <c r="E95" s="372">
        <f t="shared" si="3"/>
        <v>0.5</v>
      </c>
      <c r="F95" s="372">
        <v>0</v>
      </c>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2:32" s="1" customFormat="1">
      <c r="B96" s="44" t="s">
        <v>30</v>
      </c>
      <c r="C96" s="372">
        <v>0.3</v>
      </c>
      <c r="D96" s="372">
        <v>0.2</v>
      </c>
      <c r="E96" s="372">
        <f t="shared" si="3"/>
        <v>0.5</v>
      </c>
      <c r="F96" s="372">
        <v>0</v>
      </c>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2:32" s="1" customFormat="1">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2:32" s="1" customFormat="1" ht="16.2">
      <c r="B98" s="187" t="s">
        <v>449</v>
      </c>
      <c r="C98" s="187"/>
      <c r="D98" s="187"/>
      <c r="E98" s="187"/>
      <c r="F98" s="187"/>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2:32" s="1" customFormat="1">
      <c r="B99" s="42" t="s">
        <v>31</v>
      </c>
      <c r="C99" s="177" t="s">
        <v>40</v>
      </c>
      <c r="D99" s="178"/>
      <c r="E99" s="178"/>
      <c r="F99" s="179"/>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2:32" s="1" customFormat="1">
      <c r="B100" s="42"/>
      <c r="C100" s="180" t="s">
        <v>117</v>
      </c>
      <c r="D100" s="181"/>
      <c r="E100" s="181"/>
      <c r="F100" s="182"/>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2:32" s="1" customFormat="1" ht="25.2">
      <c r="B101" s="38"/>
      <c r="C101" s="374" t="s">
        <v>89</v>
      </c>
      <c r="D101" s="373" t="s">
        <v>139</v>
      </c>
      <c r="E101" s="373" t="s">
        <v>138</v>
      </c>
      <c r="F101" s="373" t="s">
        <v>291</v>
      </c>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2:32" s="1" customFormat="1">
      <c r="B102" s="43" t="s">
        <v>59</v>
      </c>
      <c r="C102" s="365" t="s">
        <v>38</v>
      </c>
      <c r="D102" s="365" t="s">
        <v>38</v>
      </c>
      <c r="E102" s="365" t="s">
        <v>38</v>
      </c>
      <c r="F102" s="365" t="s">
        <v>38</v>
      </c>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2:32" s="1" customFormat="1">
      <c r="B103" s="44" t="s">
        <v>15</v>
      </c>
      <c r="C103" s="365">
        <v>0.34300000000000003</v>
      </c>
      <c r="D103" s="365">
        <v>0</v>
      </c>
      <c r="E103" s="365">
        <v>0.34300000000000003</v>
      </c>
      <c r="F103" s="365">
        <v>0.02</v>
      </c>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2:32" s="1" customFormat="1">
      <c r="B104" s="44" t="s">
        <v>91</v>
      </c>
      <c r="C104" s="365">
        <v>0.34300000000000003</v>
      </c>
      <c r="D104" s="365">
        <v>0</v>
      </c>
      <c r="E104" s="365">
        <v>0.34300000000000003</v>
      </c>
      <c r="F104" s="365">
        <v>0.02</v>
      </c>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2:32" s="1" customFormat="1">
      <c r="B105" s="44" t="s">
        <v>14</v>
      </c>
      <c r="C105" s="365">
        <v>0.34300000000000003</v>
      </c>
      <c r="D105" s="365">
        <v>0</v>
      </c>
      <c r="E105" s="365">
        <v>0.34300000000000003</v>
      </c>
      <c r="F105" s="365">
        <v>0.02</v>
      </c>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2:32" s="1" customFormat="1">
      <c r="B106" s="44" t="s">
        <v>92</v>
      </c>
      <c r="C106" s="365">
        <v>0.34300000000000003</v>
      </c>
      <c r="D106" s="365">
        <v>0</v>
      </c>
      <c r="E106" s="365">
        <v>0.34300000000000003</v>
      </c>
      <c r="F106" s="365">
        <v>0.02</v>
      </c>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2:32" s="1" customFormat="1">
      <c r="B107" s="44" t="s">
        <v>16</v>
      </c>
      <c r="C107" s="365">
        <v>0.34300000000000003</v>
      </c>
      <c r="D107" s="365">
        <v>0</v>
      </c>
      <c r="E107" s="365">
        <v>0.34300000000000003</v>
      </c>
      <c r="F107" s="365">
        <v>0.02</v>
      </c>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2:32" s="1" customFormat="1">
      <c r="B108" s="44" t="s">
        <v>17</v>
      </c>
      <c r="C108" s="365">
        <v>0.34300000000000003</v>
      </c>
      <c r="D108" s="365">
        <v>0</v>
      </c>
      <c r="E108" s="365">
        <v>0.34300000000000003</v>
      </c>
      <c r="F108" s="365">
        <v>0.02</v>
      </c>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2:32" s="1" customFormat="1">
      <c r="B109" s="44" t="s">
        <v>18</v>
      </c>
      <c r="C109" s="365">
        <v>0.34300000000000003</v>
      </c>
      <c r="D109" s="365">
        <v>0</v>
      </c>
      <c r="E109" s="365">
        <v>0.34300000000000003</v>
      </c>
      <c r="F109" s="365">
        <v>0.02</v>
      </c>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2:32" s="1" customFormat="1">
      <c r="B110" s="44" t="s">
        <v>19</v>
      </c>
      <c r="C110" s="365">
        <v>0.34300000000000003</v>
      </c>
      <c r="D110" s="365">
        <v>0</v>
      </c>
      <c r="E110" s="365">
        <v>0.34300000000000003</v>
      </c>
      <c r="F110" s="365">
        <v>0.02</v>
      </c>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2:32" s="1" customFormat="1">
      <c r="B111" s="44" t="s">
        <v>20</v>
      </c>
      <c r="C111" s="365">
        <v>0.34300000000000003</v>
      </c>
      <c r="D111" s="365">
        <v>0</v>
      </c>
      <c r="E111" s="365">
        <v>0.34300000000000003</v>
      </c>
      <c r="F111" s="365">
        <v>0.02</v>
      </c>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2:32" s="1" customFormat="1">
      <c r="B112" s="44" t="s">
        <v>21</v>
      </c>
      <c r="C112" s="365">
        <v>0.245</v>
      </c>
      <c r="D112" s="365">
        <v>9.8000000000000004E-2</v>
      </c>
      <c r="E112" s="365">
        <v>0.34299999999999997</v>
      </c>
      <c r="F112" s="365">
        <v>0.02</v>
      </c>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2:32" s="1" customFormat="1">
      <c r="B113" s="44" t="s">
        <v>52</v>
      </c>
      <c r="C113" s="365">
        <v>0.34300000000000003</v>
      </c>
      <c r="D113" s="365">
        <v>0</v>
      </c>
      <c r="E113" s="365">
        <v>0.34300000000000003</v>
      </c>
      <c r="F113" s="365">
        <v>0.02</v>
      </c>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2:32" s="1" customFormat="1">
      <c r="B114" s="44" t="s">
        <v>22</v>
      </c>
      <c r="C114" s="365">
        <v>0.34300000000000003</v>
      </c>
      <c r="D114" s="365">
        <v>0</v>
      </c>
      <c r="E114" s="365">
        <v>0.34300000000000003</v>
      </c>
      <c r="F114" s="365">
        <v>0.02</v>
      </c>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2:32" s="1" customFormat="1">
      <c r="B115" s="44" t="s">
        <v>23</v>
      </c>
      <c r="C115" s="365">
        <v>0.245</v>
      </c>
      <c r="D115" s="365">
        <v>9.8000000000000004E-2</v>
      </c>
      <c r="E115" s="365">
        <v>0.34299999999999997</v>
      </c>
      <c r="F115" s="365">
        <v>0.02</v>
      </c>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2:32" s="1" customFormat="1">
      <c r="B116" s="44" t="s">
        <v>24</v>
      </c>
      <c r="C116" s="365">
        <v>0.245</v>
      </c>
      <c r="D116" s="365">
        <v>9.8000000000000004E-2</v>
      </c>
      <c r="E116" s="365">
        <v>0.34299999999999997</v>
      </c>
      <c r="F116" s="365">
        <v>0.02</v>
      </c>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2:32" s="1" customFormat="1">
      <c r="B117" s="44" t="s">
        <v>25</v>
      </c>
      <c r="C117" s="365">
        <v>0.34300000000000003</v>
      </c>
      <c r="D117" s="365">
        <v>0</v>
      </c>
      <c r="E117" s="365">
        <v>0.34300000000000003</v>
      </c>
      <c r="F117" s="365">
        <v>0.02</v>
      </c>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2:32" s="1" customFormat="1">
      <c r="B118" s="44" t="s">
        <v>26</v>
      </c>
      <c r="C118" s="365">
        <v>0.34300000000000003</v>
      </c>
      <c r="D118" s="365">
        <v>0</v>
      </c>
      <c r="E118" s="365">
        <v>0.34300000000000003</v>
      </c>
      <c r="F118" s="365">
        <v>0.02</v>
      </c>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2:32" s="1" customFormat="1">
      <c r="B119" s="44" t="s">
        <v>27</v>
      </c>
      <c r="C119" s="365">
        <v>0.34300000000000003</v>
      </c>
      <c r="D119" s="365">
        <v>0</v>
      </c>
      <c r="E119" s="365">
        <v>0.34300000000000003</v>
      </c>
      <c r="F119" s="365">
        <v>0.02</v>
      </c>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2:32" s="1" customFormat="1">
      <c r="B120" s="44" t="s">
        <v>28</v>
      </c>
      <c r="C120" s="365">
        <v>0.245</v>
      </c>
      <c r="D120" s="365">
        <v>9.8000000000000004E-2</v>
      </c>
      <c r="E120" s="365">
        <v>0.34299999999999997</v>
      </c>
      <c r="F120" s="365">
        <v>0.02</v>
      </c>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2:32" s="1" customFormat="1">
      <c r="B121" s="44" t="s">
        <v>29</v>
      </c>
      <c r="C121" s="365">
        <v>0.245</v>
      </c>
      <c r="D121" s="365">
        <v>9.8000000000000004E-2</v>
      </c>
      <c r="E121" s="365">
        <v>0.34299999999999997</v>
      </c>
      <c r="F121" s="365">
        <v>0.02</v>
      </c>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2:32" s="1" customFormat="1">
      <c r="B122" s="44" t="s">
        <v>30</v>
      </c>
      <c r="C122" s="365">
        <v>0.245</v>
      </c>
      <c r="D122" s="365">
        <v>9.8000000000000004E-2</v>
      </c>
      <c r="E122" s="365">
        <v>0.34299999999999997</v>
      </c>
      <c r="F122" s="365">
        <v>0.02</v>
      </c>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2:32" s="1" customFormat="1">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2:32" s="1" customFormat="1" ht="16.2">
      <c r="B124" s="187" t="s">
        <v>450</v>
      </c>
      <c r="C124" s="187"/>
      <c r="D124" s="187"/>
      <c r="E124" s="187"/>
      <c r="F124" s="187"/>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2:32" s="1" customFormat="1">
      <c r="B125" s="42" t="s">
        <v>31</v>
      </c>
      <c r="C125" s="177" t="s">
        <v>40</v>
      </c>
      <c r="D125" s="178"/>
      <c r="E125" s="178"/>
      <c r="F125" s="179"/>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2:32" s="1" customFormat="1">
      <c r="B126" s="42"/>
      <c r="C126" s="180" t="s">
        <v>117</v>
      </c>
      <c r="D126" s="181"/>
      <c r="E126" s="181"/>
      <c r="F126" s="182"/>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2:32" s="1" customFormat="1" ht="25.2">
      <c r="B127" s="38"/>
      <c r="C127" s="374" t="s">
        <v>89</v>
      </c>
      <c r="D127" s="373" t="s">
        <v>139</v>
      </c>
      <c r="E127" s="373" t="s">
        <v>138</v>
      </c>
      <c r="F127" s="373" t="s">
        <v>291</v>
      </c>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2:32" s="1" customFormat="1">
      <c r="B128" s="43" t="s">
        <v>59</v>
      </c>
      <c r="C128" s="365" t="s">
        <v>38</v>
      </c>
      <c r="D128" s="365" t="s">
        <v>38</v>
      </c>
      <c r="E128" s="365" t="s">
        <v>38</v>
      </c>
      <c r="F128" s="365" t="s">
        <v>38</v>
      </c>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2:32" s="1" customFormat="1">
      <c r="B129" s="44" t="s">
        <v>15</v>
      </c>
      <c r="C129" s="365">
        <v>0.5</v>
      </c>
      <c r="D129" s="365">
        <v>0</v>
      </c>
      <c r="E129" s="365">
        <v>0.5</v>
      </c>
      <c r="F129" s="365">
        <v>0</v>
      </c>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2:32" s="1" customFormat="1">
      <c r="B130" s="44" t="s">
        <v>91</v>
      </c>
      <c r="C130" s="365">
        <v>0.5</v>
      </c>
      <c r="D130" s="365">
        <v>0</v>
      </c>
      <c r="E130" s="365">
        <v>0.5</v>
      </c>
      <c r="F130" s="365">
        <v>0</v>
      </c>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2:32" s="1" customFormat="1">
      <c r="B131" s="44" t="s">
        <v>14</v>
      </c>
      <c r="C131" s="365">
        <v>0.5</v>
      </c>
      <c r="D131" s="365">
        <v>0</v>
      </c>
      <c r="E131" s="365">
        <v>0.5</v>
      </c>
      <c r="F131" s="365">
        <v>0</v>
      </c>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2:32" s="1" customFormat="1">
      <c r="B132" s="44" t="s">
        <v>92</v>
      </c>
      <c r="C132" s="365">
        <v>0.5</v>
      </c>
      <c r="D132" s="365">
        <v>0</v>
      </c>
      <c r="E132" s="365">
        <v>0.5</v>
      </c>
      <c r="F132" s="365">
        <v>0</v>
      </c>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2:32" s="1" customFormat="1">
      <c r="B133" s="44" t="s">
        <v>16</v>
      </c>
      <c r="C133" s="365">
        <v>0.5</v>
      </c>
      <c r="D133" s="365">
        <v>0</v>
      </c>
      <c r="E133" s="365">
        <v>0.5</v>
      </c>
      <c r="F133" s="365">
        <v>0</v>
      </c>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2:32" s="1" customFormat="1">
      <c r="B134" s="44" t="s">
        <v>17</v>
      </c>
      <c r="C134" s="365">
        <v>0.5</v>
      </c>
      <c r="D134" s="365">
        <v>0</v>
      </c>
      <c r="E134" s="365">
        <v>0.5</v>
      </c>
      <c r="F134" s="365">
        <v>0</v>
      </c>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2:32" s="1" customFormat="1">
      <c r="B135" s="44" t="s">
        <v>18</v>
      </c>
      <c r="C135" s="365">
        <v>0.5</v>
      </c>
      <c r="D135" s="365">
        <v>0</v>
      </c>
      <c r="E135" s="365">
        <v>0.5</v>
      </c>
      <c r="F135" s="365">
        <v>0</v>
      </c>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2:32" s="1" customFormat="1">
      <c r="B136" s="44" t="s">
        <v>19</v>
      </c>
      <c r="C136" s="365">
        <v>0.5</v>
      </c>
      <c r="D136" s="365">
        <v>0</v>
      </c>
      <c r="E136" s="365">
        <v>0.5</v>
      </c>
      <c r="F136" s="365">
        <v>0</v>
      </c>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2:32" s="1" customFormat="1">
      <c r="B137" s="44" t="s">
        <v>20</v>
      </c>
      <c r="C137" s="365">
        <v>0.5</v>
      </c>
      <c r="D137" s="365">
        <v>0</v>
      </c>
      <c r="E137" s="365">
        <v>0.5</v>
      </c>
      <c r="F137" s="365">
        <v>0</v>
      </c>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2:32" s="1" customFormat="1">
      <c r="B138" s="44" t="s">
        <v>21</v>
      </c>
      <c r="C138" s="365">
        <v>0.3</v>
      </c>
      <c r="D138" s="365">
        <v>0.2</v>
      </c>
      <c r="E138" s="365">
        <v>0.5</v>
      </c>
      <c r="F138" s="365">
        <v>0</v>
      </c>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2:32" s="1" customFormat="1">
      <c r="B139" s="44" t="s">
        <v>52</v>
      </c>
      <c r="C139" s="365">
        <v>0.8</v>
      </c>
      <c r="D139" s="365">
        <v>0</v>
      </c>
      <c r="E139" s="365">
        <v>0.8</v>
      </c>
      <c r="F139" s="365">
        <v>0</v>
      </c>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2:32" s="1" customFormat="1">
      <c r="B140" s="44" t="s">
        <v>22</v>
      </c>
      <c r="C140" s="365">
        <v>0.5</v>
      </c>
      <c r="D140" s="365">
        <v>0</v>
      </c>
      <c r="E140" s="365">
        <v>0.5</v>
      </c>
      <c r="F140" s="365">
        <v>0</v>
      </c>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2:32" s="1" customFormat="1">
      <c r="B141" s="44" t="s">
        <v>23</v>
      </c>
      <c r="C141" s="365">
        <v>0.3</v>
      </c>
      <c r="D141" s="365">
        <v>0.2</v>
      </c>
      <c r="E141" s="365">
        <v>0.5</v>
      </c>
      <c r="F141" s="365">
        <v>0</v>
      </c>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2:32" s="1" customFormat="1">
      <c r="B142" s="44" t="s">
        <v>24</v>
      </c>
      <c r="C142" s="365">
        <v>0.3</v>
      </c>
      <c r="D142" s="365">
        <v>0.2</v>
      </c>
      <c r="E142" s="365">
        <v>0.5</v>
      </c>
      <c r="F142" s="365">
        <v>0</v>
      </c>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2:32" s="1" customFormat="1">
      <c r="B143" s="44" t="s">
        <v>25</v>
      </c>
      <c r="C143" s="365">
        <v>0.5</v>
      </c>
      <c r="D143" s="365">
        <v>0</v>
      </c>
      <c r="E143" s="365">
        <v>0.5</v>
      </c>
      <c r="F143" s="365">
        <v>0</v>
      </c>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2:32" s="1" customFormat="1">
      <c r="B144" s="44" t="s">
        <v>26</v>
      </c>
      <c r="C144" s="365">
        <v>0.5</v>
      </c>
      <c r="D144" s="365">
        <v>0</v>
      </c>
      <c r="E144" s="365">
        <v>0.5</v>
      </c>
      <c r="F144" s="365">
        <v>0</v>
      </c>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2:32" s="1" customFormat="1">
      <c r="B145" s="44" t="s">
        <v>27</v>
      </c>
      <c r="C145" s="365">
        <v>0.5</v>
      </c>
      <c r="D145" s="365">
        <v>0</v>
      </c>
      <c r="E145" s="365">
        <v>0.5</v>
      </c>
      <c r="F145" s="365">
        <v>0</v>
      </c>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2:32" s="1" customFormat="1">
      <c r="B146" s="44" t="s">
        <v>28</v>
      </c>
      <c r="C146" s="365">
        <v>0.3</v>
      </c>
      <c r="D146" s="365">
        <v>0.2</v>
      </c>
      <c r="E146" s="365">
        <v>0.5</v>
      </c>
      <c r="F146" s="365">
        <v>0</v>
      </c>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2:32" s="1" customFormat="1">
      <c r="B147" s="44" t="s">
        <v>29</v>
      </c>
      <c r="C147" s="365">
        <v>0.3</v>
      </c>
      <c r="D147" s="365">
        <v>0.2</v>
      </c>
      <c r="E147" s="365">
        <v>0.5</v>
      </c>
      <c r="F147" s="365">
        <v>0</v>
      </c>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2:32" s="1" customFormat="1">
      <c r="B148" s="44" t="s">
        <v>30</v>
      </c>
      <c r="C148" s="365">
        <v>0.3</v>
      </c>
      <c r="D148" s="365">
        <v>0.2</v>
      </c>
      <c r="E148" s="365">
        <v>0.5</v>
      </c>
      <c r="F148" s="365">
        <v>0</v>
      </c>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2:32" s="1" customFormat="1">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2:32" s="1" customFormat="1" ht="16.2">
      <c r="B150" s="187" t="s">
        <v>451</v>
      </c>
      <c r="C150" s="187"/>
      <c r="D150" s="187"/>
      <c r="E150" s="187"/>
      <c r="F150" s="187"/>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2:32" s="1" customFormat="1">
      <c r="B151" s="42" t="s">
        <v>31</v>
      </c>
      <c r="C151" s="177" t="s">
        <v>40</v>
      </c>
      <c r="D151" s="178"/>
      <c r="E151" s="178"/>
      <c r="F151" s="179"/>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2:32" s="1" customFormat="1">
      <c r="B152" s="42"/>
      <c r="C152" s="180" t="s">
        <v>117</v>
      </c>
      <c r="D152" s="181"/>
      <c r="E152" s="181"/>
      <c r="F152" s="182"/>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2:32" s="1" customFormat="1" ht="25.2">
      <c r="B153" s="38"/>
      <c r="C153" s="374" t="s">
        <v>89</v>
      </c>
      <c r="D153" s="373" t="s">
        <v>139</v>
      </c>
      <c r="E153" s="373" t="s">
        <v>138</v>
      </c>
      <c r="F153" s="373" t="s">
        <v>291</v>
      </c>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2:32" s="1" customFormat="1">
      <c r="B154" s="43" t="s">
        <v>59</v>
      </c>
      <c r="C154" s="365" t="s">
        <v>38</v>
      </c>
      <c r="D154" s="365" t="s">
        <v>38</v>
      </c>
      <c r="E154" s="365" t="s">
        <v>38</v>
      </c>
      <c r="F154" s="365" t="s">
        <v>38</v>
      </c>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2:32" s="1" customFormat="1">
      <c r="B155" s="44" t="s">
        <v>15</v>
      </c>
      <c r="C155" s="365">
        <v>7.0000000000000001E-3</v>
      </c>
      <c r="D155" s="365">
        <v>0</v>
      </c>
      <c r="E155" s="365">
        <v>7.0000000000000001E-3</v>
      </c>
      <c r="F155" s="365">
        <v>0.98</v>
      </c>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2:32" s="1" customFormat="1">
      <c r="B156" s="44" t="s">
        <v>91</v>
      </c>
      <c r="C156" s="365">
        <v>7.0000000000000001E-3</v>
      </c>
      <c r="D156" s="365">
        <v>0</v>
      </c>
      <c r="E156" s="365">
        <v>7.0000000000000001E-3</v>
      </c>
      <c r="F156" s="365">
        <v>0.98</v>
      </c>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2:32" s="1" customFormat="1">
      <c r="B157" s="44" t="s">
        <v>14</v>
      </c>
      <c r="C157" s="365">
        <v>7.0000000000000001E-3</v>
      </c>
      <c r="D157" s="365">
        <v>0</v>
      </c>
      <c r="E157" s="365">
        <v>7.0000000000000001E-3</v>
      </c>
      <c r="F157" s="365">
        <v>0.98</v>
      </c>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2:32" s="1" customFormat="1">
      <c r="B158" s="44" t="s">
        <v>92</v>
      </c>
      <c r="C158" s="365">
        <v>7.0000000000000001E-3</v>
      </c>
      <c r="D158" s="365">
        <v>0</v>
      </c>
      <c r="E158" s="365">
        <v>7.0000000000000001E-3</v>
      </c>
      <c r="F158" s="365">
        <v>0.98</v>
      </c>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2:32" s="1" customFormat="1">
      <c r="B159" s="44" t="s">
        <v>16</v>
      </c>
      <c r="C159" s="365">
        <v>7.0000000000000001E-3</v>
      </c>
      <c r="D159" s="365">
        <v>0</v>
      </c>
      <c r="E159" s="365">
        <v>7.0000000000000001E-3</v>
      </c>
      <c r="F159" s="365">
        <v>0.98</v>
      </c>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2:32" s="1" customFormat="1">
      <c r="B160" s="44" t="s">
        <v>17</v>
      </c>
      <c r="C160" s="365">
        <v>7.0000000000000001E-3</v>
      </c>
      <c r="D160" s="365">
        <v>0</v>
      </c>
      <c r="E160" s="365">
        <v>7.0000000000000001E-3</v>
      </c>
      <c r="F160" s="365">
        <v>0.98</v>
      </c>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2:32" s="1" customFormat="1">
      <c r="B161" s="44" t="s">
        <v>18</v>
      </c>
      <c r="C161" s="365">
        <v>7.0000000000000001E-3</v>
      </c>
      <c r="D161" s="365">
        <v>0</v>
      </c>
      <c r="E161" s="365">
        <v>7.0000000000000001E-3</v>
      </c>
      <c r="F161" s="365">
        <v>0.98</v>
      </c>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2:32" s="1" customFormat="1">
      <c r="B162" s="44" t="s">
        <v>19</v>
      </c>
      <c r="C162" s="365">
        <v>7.0000000000000001E-3</v>
      </c>
      <c r="D162" s="365">
        <v>0</v>
      </c>
      <c r="E162" s="365">
        <v>7.0000000000000001E-3</v>
      </c>
      <c r="F162" s="365">
        <v>0.98</v>
      </c>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2:32" s="1" customFormat="1">
      <c r="B163" s="44" t="s">
        <v>20</v>
      </c>
      <c r="C163" s="365">
        <v>7.0000000000000001E-3</v>
      </c>
      <c r="D163" s="365">
        <v>0</v>
      </c>
      <c r="E163" s="365">
        <v>7.0000000000000001E-3</v>
      </c>
      <c r="F163" s="365">
        <v>0.98</v>
      </c>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2:32" s="1" customFormat="1">
      <c r="B164" s="44" t="s">
        <v>21</v>
      </c>
      <c r="C164" s="365">
        <v>5.0000000000000001E-3</v>
      </c>
      <c r="D164" s="365">
        <v>2E-3</v>
      </c>
      <c r="E164" s="365">
        <v>7.0000000000000001E-3</v>
      </c>
      <c r="F164" s="365">
        <v>0.98</v>
      </c>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2:32" s="1" customFormat="1">
      <c r="B165" s="44" t="s">
        <v>52</v>
      </c>
      <c r="C165" s="365">
        <v>7.0000000000000001E-3</v>
      </c>
      <c r="D165" s="365">
        <v>0</v>
      </c>
      <c r="E165" s="365">
        <v>7.0000000000000001E-3</v>
      </c>
      <c r="F165" s="365">
        <v>0.98</v>
      </c>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2:32" s="1" customFormat="1">
      <c r="B166" s="44" t="s">
        <v>22</v>
      </c>
      <c r="C166" s="365">
        <v>7.0000000000000001E-3</v>
      </c>
      <c r="D166" s="365">
        <v>0</v>
      </c>
      <c r="E166" s="365">
        <v>7.0000000000000001E-3</v>
      </c>
      <c r="F166" s="365">
        <v>0.98</v>
      </c>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2:32" s="1" customFormat="1">
      <c r="B167" s="44" t="s">
        <v>23</v>
      </c>
      <c r="C167" s="365">
        <v>5.0000000000000001E-3</v>
      </c>
      <c r="D167" s="365">
        <v>2E-3</v>
      </c>
      <c r="E167" s="365">
        <v>7.0000000000000001E-3</v>
      </c>
      <c r="F167" s="365">
        <v>0.98</v>
      </c>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2:32" s="1" customFormat="1">
      <c r="B168" s="44" t="s">
        <v>24</v>
      </c>
      <c r="C168" s="365">
        <v>5.0000000000000001E-3</v>
      </c>
      <c r="D168" s="365">
        <v>2E-3</v>
      </c>
      <c r="E168" s="365">
        <v>7.0000000000000001E-3</v>
      </c>
      <c r="F168" s="365">
        <v>0.98</v>
      </c>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2:32" s="1" customFormat="1">
      <c r="B169" s="44" t="s">
        <v>25</v>
      </c>
      <c r="C169" s="365">
        <v>7.0000000000000001E-3</v>
      </c>
      <c r="D169" s="365">
        <v>0</v>
      </c>
      <c r="E169" s="365">
        <v>7.0000000000000001E-3</v>
      </c>
      <c r="F169" s="365">
        <v>0.98</v>
      </c>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2:32" s="1" customFormat="1">
      <c r="B170" s="44" t="s">
        <v>26</v>
      </c>
      <c r="C170" s="365">
        <v>7.0000000000000001E-3</v>
      </c>
      <c r="D170" s="365">
        <v>0</v>
      </c>
      <c r="E170" s="365">
        <v>7.0000000000000001E-3</v>
      </c>
      <c r="F170" s="365">
        <v>0.98</v>
      </c>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2:32" s="1" customFormat="1">
      <c r="B171" s="44" t="s">
        <v>27</v>
      </c>
      <c r="C171" s="365">
        <v>7.0000000000000001E-3</v>
      </c>
      <c r="D171" s="365">
        <v>0</v>
      </c>
      <c r="E171" s="365">
        <v>7.0000000000000001E-3</v>
      </c>
      <c r="F171" s="365">
        <v>0.98</v>
      </c>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2:32" s="1" customFormat="1">
      <c r="B172" s="44" t="s">
        <v>28</v>
      </c>
      <c r="C172" s="365">
        <v>5.0000000000000001E-3</v>
      </c>
      <c r="D172" s="365">
        <v>2E-3</v>
      </c>
      <c r="E172" s="365">
        <v>7.0000000000000001E-3</v>
      </c>
      <c r="F172" s="365">
        <v>0.98</v>
      </c>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2:32" s="1" customFormat="1">
      <c r="B173" s="44" t="s">
        <v>29</v>
      </c>
      <c r="C173" s="365">
        <v>5.0000000000000001E-3</v>
      </c>
      <c r="D173" s="365">
        <v>2E-3</v>
      </c>
      <c r="E173" s="365">
        <v>7.0000000000000001E-3</v>
      </c>
      <c r="F173" s="365">
        <v>0.98</v>
      </c>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2:32" s="1" customFormat="1">
      <c r="B174" s="44" t="s">
        <v>30</v>
      </c>
      <c r="C174" s="365">
        <v>5.0000000000000001E-3</v>
      </c>
      <c r="D174" s="365">
        <v>2E-3</v>
      </c>
      <c r="E174" s="365">
        <v>7.0000000000000001E-3</v>
      </c>
      <c r="F174" s="365">
        <v>0.98</v>
      </c>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2:32" s="1" customFormat="1">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2:32" s="2" customFormat="1">
      <c r="B176" s="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3:4" s="1" customFormat="1"/>
    <row r="178" spans="3:4" s="1" customFormat="1"/>
    <row r="179" spans="3:4" s="1" customFormat="1">
      <c r="C179" s="324" t="s">
        <v>321</v>
      </c>
    </row>
    <row r="180" spans="3:4" s="1" customFormat="1">
      <c r="C180" s="324" t="s">
        <v>460</v>
      </c>
    </row>
    <row r="181" spans="3:4" s="1" customFormat="1">
      <c r="C181" s="324" t="s">
        <v>461</v>
      </c>
    </row>
    <row r="182" spans="3:4" s="1" customFormat="1"/>
    <row r="183" spans="3:4" s="1" customFormat="1">
      <c r="C183" s="324" t="s">
        <v>321</v>
      </c>
      <c r="D183" s="324" t="s">
        <v>38</v>
      </c>
    </row>
    <row r="184" spans="3:4" s="1" customFormat="1">
      <c r="C184" s="324" t="s">
        <v>462</v>
      </c>
      <c r="D184" s="324" t="s">
        <v>460</v>
      </c>
    </row>
    <row r="185" spans="3:4" s="1" customFormat="1">
      <c r="C185" s="324" t="s">
        <v>463</v>
      </c>
      <c r="D185" s="324" t="s">
        <v>461</v>
      </c>
    </row>
    <row r="186" spans="3:4" s="1" customFormat="1">
      <c r="D186" s="376"/>
    </row>
    <row r="187" spans="3:4" s="1" customFormat="1">
      <c r="C187" s="324" t="s">
        <v>464</v>
      </c>
      <c r="D187" s="324" t="s">
        <v>38</v>
      </c>
    </row>
    <row r="188" spans="3:4" s="1" customFormat="1">
      <c r="C188" s="324" t="s">
        <v>465</v>
      </c>
      <c r="D188" s="324" t="s">
        <v>83</v>
      </c>
    </row>
    <row r="189" spans="3:4" s="1" customFormat="1">
      <c r="C189" s="324" t="s">
        <v>466</v>
      </c>
      <c r="D189" s="324" t="s">
        <v>467</v>
      </c>
    </row>
    <row r="190" spans="3:4" s="1" customFormat="1"/>
    <row r="191" spans="3:4" s="1" customFormat="1"/>
    <row r="192" spans="3:4" s="1" customFormat="1"/>
    <row r="193" spans="2:32" s="1" customFormat="1">
      <c r="B193" s="37" t="s">
        <v>360</v>
      </c>
      <c r="C193" s="40"/>
      <c r="D193" s="40"/>
      <c r="E193" s="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2:32" s="1" customFormat="1">
      <c r="B194" s="320"/>
      <c r="C194" s="321" t="s">
        <v>301</v>
      </c>
      <c r="D194" s="40"/>
      <c r="E194" s="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2:32" s="1" customFormat="1">
      <c r="B195" s="322" t="s">
        <v>364</v>
      </c>
      <c r="C195" s="323" t="s">
        <v>38</v>
      </c>
    </row>
    <row r="196" spans="2:32" s="1" customFormat="1">
      <c r="B196" s="324" t="s">
        <v>361</v>
      </c>
      <c r="C196" s="325">
        <v>4</v>
      </c>
    </row>
    <row r="197" spans="2:32" s="1" customFormat="1">
      <c r="B197" s="324" t="s">
        <v>362</v>
      </c>
      <c r="C197" s="325">
        <v>6</v>
      </c>
    </row>
    <row r="198" spans="2:32" s="1" customFormat="1">
      <c r="B198" s="324" t="s">
        <v>508</v>
      </c>
      <c r="C198" s="325" t="s">
        <v>363</v>
      </c>
    </row>
    <row r="199" spans="2:32" s="1" customFormat="1"/>
    <row r="200" spans="2:32" s="1" customFormat="1"/>
    <row r="201" spans="2:32" s="1" customFormat="1"/>
    <row r="202" spans="2:32" s="1" customFormat="1"/>
    <row r="203" spans="2:32" s="1" customFormat="1">
      <c r="B203" s="320" t="s">
        <v>558</v>
      </c>
    </row>
    <row r="204" spans="2:32" s="1" customFormat="1">
      <c r="B204" s="322" t="s">
        <v>557</v>
      </c>
    </row>
    <row r="205" spans="2:32" s="1" customFormat="1">
      <c r="B205" s="324" t="s">
        <v>452</v>
      </c>
    </row>
    <row r="206" spans="2:32" s="1" customFormat="1">
      <c r="B206" s="324" t="s">
        <v>180</v>
      </c>
    </row>
    <row r="207" spans="2:32" s="1" customFormat="1"/>
    <row r="208" spans="2:32" s="1" customFormat="1"/>
    <row r="209" spans="2:3" s="1" customFormat="1">
      <c r="B209" s="320" t="s">
        <v>559</v>
      </c>
    </row>
    <row r="210" spans="2:3" s="1" customFormat="1">
      <c r="B210" s="322" t="s">
        <v>557</v>
      </c>
    </row>
    <row r="211" spans="2:3" s="1" customFormat="1">
      <c r="B211" s="324" t="s">
        <v>102</v>
      </c>
    </row>
    <row r="212" spans="2:3" s="1" customFormat="1">
      <c r="B212" s="324" t="s">
        <v>180</v>
      </c>
    </row>
    <row r="213" spans="2:3" s="1" customFormat="1"/>
    <row r="214" spans="2:3" s="1" customFormat="1"/>
    <row r="215" spans="2:3" s="1" customFormat="1">
      <c r="B215" s="520" t="s">
        <v>615</v>
      </c>
      <c r="C215" s="520" t="s">
        <v>616</v>
      </c>
    </row>
    <row r="216" spans="2:3" s="1" customFormat="1">
      <c r="B216" s="521" t="s">
        <v>564</v>
      </c>
      <c r="C216" s="522" t="s">
        <v>38</v>
      </c>
    </row>
    <row r="217" spans="2:3" s="1" customFormat="1">
      <c r="B217" s="523" t="s">
        <v>617</v>
      </c>
      <c r="C217" s="524">
        <v>1.2</v>
      </c>
    </row>
    <row r="218" spans="2:3" s="1" customFormat="1">
      <c r="B218" s="523" t="s">
        <v>618</v>
      </c>
      <c r="C218" s="524">
        <v>7</v>
      </c>
    </row>
    <row r="219" spans="2:3" s="1" customFormat="1">
      <c r="B219" s="523" t="s">
        <v>619</v>
      </c>
      <c r="C219" s="524">
        <v>7</v>
      </c>
    </row>
    <row r="220" spans="2:3" s="1" customFormat="1"/>
    <row r="221" spans="2:3" s="1" customFormat="1"/>
    <row r="222" spans="2:3" s="1" customFormat="1"/>
    <row r="223" spans="2:3" s="1" customFormat="1"/>
    <row r="224" spans="2:3"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sheetData>
  <sheetProtection formatCells="0" formatColumns="0" formatRows="0"/>
  <protectedRanges>
    <protectedRange sqref="B62" name="Range1"/>
  </protectedRanges>
  <dataConsolidate/>
  <mergeCells count="3">
    <mergeCell ref="M10:P11"/>
    <mergeCell ref="H10:J10"/>
    <mergeCell ref="C10:E10"/>
  </mergeCells>
  <dataValidations count="3">
    <dataValidation type="list" allowBlank="1" showDropDown="1" showInputMessage="1" showErrorMessage="1" sqref="B15 B42 B76 B102 D61:D65 F71:G71 F67:G69 B128 O15:Q15 B154 B61:B66" xr:uid="{00000000-0002-0000-0A00-000000000000}">
      <formula1>ProductForm</formula1>
    </dataValidation>
    <dataValidation type="list" allowBlank="1" showDropDown="1" showInputMessage="1" showErrorMessage="1" sqref="B96 B122 B35:B37 O35:Q35 B176 B70 B43:B44 B58 V46 B148 B174" xr:uid="{00000000-0002-0000-0A00-000001000000}">
      <formula1>Product</formula1>
    </dataValidation>
    <dataValidation type="list" allowBlank="1" showDropDown="1" showInputMessage="1" showErrorMessage="1" sqref="B216:B219" xr:uid="{267D3D40-9449-4E58-88FF-A87038E86A95}">
      <formula1>ActiveIngredient</formula1>
    </dataValidation>
  </dataValidation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S20"/>
  <sheetViews>
    <sheetView workbookViewId="0"/>
  </sheetViews>
  <sheetFormatPr defaultColWidth="9" defaultRowHeight="12.6"/>
  <cols>
    <col min="1" max="1" width="1.6328125" style="2" customWidth="1"/>
    <col min="2" max="16384" width="9" style="2"/>
  </cols>
  <sheetData>
    <row r="2" spans="2:19" ht="42.75" customHeight="1">
      <c r="B2" s="485" t="s">
        <v>191</v>
      </c>
      <c r="C2" s="485"/>
      <c r="D2" s="485"/>
      <c r="E2" s="485"/>
      <c r="F2" s="485"/>
      <c r="G2" s="485"/>
      <c r="H2" s="485"/>
      <c r="I2" s="485"/>
      <c r="J2" s="485"/>
      <c r="K2" s="485"/>
      <c r="L2" s="485"/>
      <c r="M2" s="485"/>
      <c r="N2" s="485"/>
      <c r="O2" s="485"/>
    </row>
    <row r="5" spans="2:19" ht="17.399999999999999">
      <c r="B5" s="9" t="s">
        <v>56</v>
      </c>
      <c r="C5" s="5"/>
      <c r="D5" s="5"/>
      <c r="E5" s="5"/>
      <c r="F5" s="5"/>
      <c r="G5" s="5"/>
      <c r="H5" s="5"/>
      <c r="I5" s="5"/>
      <c r="J5" s="5"/>
      <c r="K5" s="5"/>
      <c r="L5" s="5"/>
      <c r="M5" s="5"/>
      <c r="N5" s="5"/>
      <c r="O5" s="5"/>
      <c r="P5" s="5"/>
      <c r="Q5" s="5"/>
      <c r="R5" s="5"/>
      <c r="S5" s="5"/>
    </row>
    <row r="6" spans="2:19" ht="13.8">
      <c r="B6" s="50"/>
      <c r="C6" s="50"/>
      <c r="D6" s="50"/>
      <c r="E6" s="50"/>
      <c r="F6" s="50"/>
      <c r="G6" s="50"/>
      <c r="H6" s="50"/>
      <c r="I6" s="50"/>
      <c r="J6" s="50"/>
      <c r="K6" s="50"/>
      <c r="L6" s="50"/>
      <c r="M6" s="50"/>
      <c r="N6" s="50"/>
      <c r="O6" s="50"/>
      <c r="P6" s="50"/>
      <c r="Q6" s="50"/>
      <c r="R6" s="50"/>
      <c r="S6" s="51"/>
    </row>
    <row r="7" spans="2:19">
      <c r="B7" s="489" t="s">
        <v>359</v>
      </c>
      <c r="C7" s="489"/>
      <c r="D7" s="489"/>
      <c r="E7" s="489"/>
      <c r="F7" s="489"/>
      <c r="G7" s="489"/>
      <c r="H7" s="489"/>
      <c r="I7" s="489"/>
      <c r="J7" s="489"/>
      <c r="K7" s="489"/>
      <c r="L7" s="489"/>
      <c r="M7" s="489"/>
      <c r="N7" s="489"/>
      <c r="O7" s="489"/>
      <c r="P7" s="489"/>
      <c r="Q7" s="489"/>
      <c r="R7" s="489"/>
      <c r="S7" s="489"/>
    </row>
    <row r="8" spans="2:19" ht="13.8">
      <c r="B8" s="327"/>
      <c r="C8" s="51"/>
      <c r="D8" s="51"/>
      <c r="E8" s="51"/>
      <c r="F8" s="51"/>
      <c r="G8" s="51"/>
      <c r="H8" s="51"/>
      <c r="I8" s="51"/>
      <c r="J8" s="51"/>
      <c r="K8" s="51"/>
      <c r="L8" s="51"/>
      <c r="M8" s="51"/>
      <c r="N8" s="51"/>
      <c r="O8" s="51"/>
      <c r="P8" s="51"/>
      <c r="Q8" s="51"/>
      <c r="R8" s="51"/>
      <c r="S8" s="51"/>
    </row>
    <row r="9" spans="2:19" s="8" customFormat="1">
      <c r="B9" s="489" t="s">
        <v>366</v>
      </c>
      <c r="C9" s="489"/>
      <c r="D9" s="489"/>
      <c r="E9" s="489"/>
      <c r="F9" s="489"/>
      <c r="G9" s="489"/>
      <c r="H9" s="489"/>
      <c r="I9" s="489"/>
      <c r="J9" s="489"/>
      <c r="K9" s="489"/>
      <c r="L9" s="489"/>
      <c r="M9" s="489"/>
      <c r="N9" s="489"/>
      <c r="O9" s="489"/>
      <c r="P9" s="489"/>
      <c r="Q9" s="489"/>
      <c r="R9" s="489"/>
      <c r="S9" s="489"/>
    </row>
    <row r="10" spans="2:19" s="8" customFormat="1" ht="13.8">
      <c r="B10" s="328"/>
      <c r="C10" s="51"/>
      <c r="D10" s="51"/>
      <c r="E10" s="51"/>
      <c r="F10" s="51"/>
      <c r="G10" s="51"/>
      <c r="H10" s="51"/>
      <c r="I10" s="51"/>
      <c r="J10" s="51"/>
      <c r="K10" s="51"/>
      <c r="L10" s="51"/>
      <c r="M10" s="51"/>
      <c r="N10" s="51"/>
      <c r="O10" s="51"/>
      <c r="P10" s="51"/>
      <c r="Q10" s="51"/>
      <c r="R10" s="51"/>
      <c r="S10" s="51"/>
    </row>
    <row r="11" spans="2:19" s="8" customFormat="1">
      <c r="B11" s="489" t="s">
        <v>367</v>
      </c>
      <c r="C11" s="489"/>
      <c r="D11" s="489"/>
      <c r="E11" s="489"/>
      <c r="F11" s="489"/>
      <c r="G11" s="489"/>
      <c r="H11" s="489"/>
      <c r="I11" s="489"/>
      <c r="J11" s="489"/>
      <c r="K11" s="489"/>
      <c r="L11" s="489"/>
      <c r="M11" s="489"/>
      <c r="N11" s="489"/>
      <c r="O11" s="489"/>
      <c r="P11" s="489"/>
      <c r="Q11" s="489"/>
      <c r="R11" s="489"/>
      <c r="S11" s="489"/>
    </row>
    <row r="12" spans="2:19" s="8" customFormat="1" ht="13.8">
      <c r="B12" s="328"/>
      <c r="C12" s="51"/>
      <c r="D12" s="51"/>
      <c r="E12" s="51"/>
      <c r="F12" s="51"/>
      <c r="G12" s="51"/>
      <c r="H12" s="51"/>
      <c r="I12" s="51"/>
      <c r="J12" s="51"/>
      <c r="K12" s="51"/>
      <c r="L12" s="51"/>
      <c r="M12" s="51"/>
      <c r="N12" s="51"/>
      <c r="O12" s="51"/>
      <c r="P12" s="51"/>
      <c r="Q12" s="51"/>
      <c r="R12" s="51"/>
      <c r="S12" s="51"/>
    </row>
    <row r="13" spans="2:19" s="8" customFormat="1">
      <c r="B13" s="489" t="s">
        <v>368</v>
      </c>
      <c r="C13" s="489"/>
      <c r="D13" s="489"/>
      <c r="E13" s="489"/>
      <c r="F13" s="489"/>
      <c r="G13" s="489"/>
      <c r="H13" s="489"/>
      <c r="I13" s="489"/>
      <c r="J13" s="489"/>
      <c r="K13" s="489"/>
      <c r="L13" s="489"/>
      <c r="M13" s="489"/>
      <c r="N13" s="489"/>
      <c r="O13" s="489"/>
      <c r="P13" s="489"/>
      <c r="Q13" s="489"/>
      <c r="R13" s="489"/>
      <c r="S13" s="489"/>
    </row>
    <row r="14" spans="2:19" s="8" customFormat="1" ht="13.8">
      <c r="B14" s="328"/>
      <c r="C14" s="51"/>
      <c r="D14" s="51"/>
      <c r="E14" s="51"/>
      <c r="F14" s="51"/>
      <c r="G14" s="51"/>
      <c r="H14" s="51"/>
      <c r="I14" s="51"/>
      <c r="J14" s="51"/>
      <c r="K14" s="51"/>
      <c r="L14" s="51"/>
      <c r="M14" s="51"/>
      <c r="N14" s="51"/>
      <c r="O14" s="51"/>
      <c r="P14" s="51"/>
      <c r="Q14" s="51"/>
      <c r="R14" s="51"/>
      <c r="S14" s="51"/>
    </row>
    <row r="15" spans="2:19" s="8" customFormat="1" ht="13.8">
      <c r="B15" s="472" t="s">
        <v>369</v>
      </c>
      <c r="C15" s="328"/>
      <c r="D15" s="51"/>
      <c r="E15" s="328"/>
      <c r="F15" s="328"/>
      <c r="G15" s="328"/>
      <c r="H15" s="328"/>
      <c r="I15" s="328"/>
      <c r="J15" s="328"/>
      <c r="K15" s="328"/>
      <c r="L15" s="328"/>
      <c r="M15" s="328"/>
      <c r="N15" s="328"/>
      <c r="O15" s="328"/>
      <c r="P15" s="328"/>
      <c r="Q15" s="51"/>
      <c r="R15" s="51"/>
      <c r="S15" s="51"/>
    </row>
    <row r="16" spans="2:19" s="8" customFormat="1">
      <c r="B16" s="329"/>
      <c r="C16" s="329"/>
      <c r="D16" s="329"/>
      <c r="E16" s="329"/>
      <c r="F16" s="329"/>
      <c r="G16" s="329"/>
      <c r="H16" s="329"/>
      <c r="I16" s="329"/>
      <c r="J16" s="329"/>
      <c r="K16" s="329"/>
      <c r="L16" s="329"/>
      <c r="M16" s="329"/>
      <c r="N16" s="329"/>
      <c r="O16" s="329"/>
      <c r="P16" s="329"/>
      <c r="Q16" s="329"/>
      <c r="R16" s="329"/>
      <c r="S16" s="329"/>
    </row>
    <row r="17" spans="2:19" s="8" customFormat="1">
      <c r="B17" s="472" t="s">
        <v>370</v>
      </c>
      <c r="C17" s="329"/>
      <c r="D17" s="329"/>
      <c r="E17" s="329"/>
      <c r="F17" s="329"/>
      <c r="G17" s="329"/>
      <c r="H17" s="329"/>
      <c r="I17" s="329"/>
      <c r="J17" s="329"/>
      <c r="K17" s="329"/>
      <c r="L17" s="329"/>
      <c r="M17" s="329"/>
      <c r="N17" s="329"/>
      <c r="O17" s="329"/>
      <c r="P17" s="329"/>
      <c r="Q17" s="329"/>
      <c r="R17" s="329"/>
      <c r="S17" s="329"/>
    </row>
    <row r="18" spans="2:19">
      <c r="B18" s="329"/>
      <c r="C18" s="329"/>
      <c r="D18" s="329"/>
      <c r="E18" s="329"/>
      <c r="F18" s="329"/>
      <c r="G18" s="329"/>
      <c r="H18" s="329"/>
      <c r="I18" s="329"/>
      <c r="J18" s="329"/>
      <c r="K18" s="329"/>
      <c r="L18" s="329"/>
      <c r="M18" s="329"/>
      <c r="N18" s="329"/>
      <c r="O18" s="329"/>
      <c r="P18" s="329"/>
      <c r="Q18" s="329"/>
      <c r="R18" s="329"/>
      <c r="S18" s="329"/>
    </row>
    <row r="19" spans="2:19">
      <c r="B19" s="472" t="s">
        <v>371</v>
      </c>
      <c r="C19" s="329"/>
      <c r="D19" s="329"/>
      <c r="E19" s="329"/>
      <c r="F19" s="329"/>
      <c r="G19" s="329"/>
      <c r="H19" s="329"/>
      <c r="I19" s="329"/>
      <c r="J19" s="329"/>
      <c r="K19" s="329"/>
      <c r="L19" s="329"/>
      <c r="M19" s="329"/>
      <c r="N19" s="329"/>
      <c r="O19" s="329"/>
      <c r="P19" s="329"/>
      <c r="Q19" s="329"/>
      <c r="R19" s="329"/>
      <c r="S19" s="329"/>
    </row>
    <row r="20" spans="2:19">
      <c r="B20" s="329"/>
      <c r="C20" s="329"/>
      <c r="D20" s="329"/>
      <c r="E20" s="329"/>
      <c r="F20" s="329"/>
      <c r="G20" s="329"/>
      <c r="H20" s="329"/>
      <c r="I20" s="329"/>
      <c r="J20" s="329"/>
      <c r="K20" s="329"/>
      <c r="L20" s="329"/>
      <c r="M20" s="329"/>
      <c r="N20" s="329"/>
      <c r="O20" s="329"/>
      <c r="P20" s="329"/>
      <c r="Q20" s="329"/>
      <c r="R20" s="329"/>
      <c r="S20" s="329"/>
    </row>
  </sheetData>
  <mergeCells count="5">
    <mergeCell ref="B2:O2"/>
    <mergeCell ref="B11:S11"/>
    <mergeCell ref="B9:S9"/>
    <mergeCell ref="B7:S7"/>
    <mergeCell ref="B13:S13"/>
  </mergeCells>
  <hyperlinks>
    <hyperlink ref="B7:S7" location="'PT 3 - animal housing'!A1" display="Emission scenario for disinfectants used for disinfection of animal housings" xr:uid="{06BD3F51-370D-4B88-AFE3-000FCF420B72}"/>
    <hyperlink ref="B9:S9" location="'PT 3 - transport'!A1" display="Emission scenario for disinfectants used for disinfection of vehicles used for animal transport" xr:uid="{50611287-D8C6-48A7-8274-2F668025FB13}"/>
    <hyperlink ref="B11:S11" location="'PT 3-vet hyg non med teat dip'!A1" display="Emission scenario for disinfectants used for veterinary hygiene non medical teat dips" xr:uid="{B579C253-BA67-43B9-BB61-0832EB15201A}"/>
    <hyperlink ref="B13:S13" location="'PT 3 - vet hyg footwear'!A1" display="Emission scenario for disinfectants used for veterinary hygiene disinfection of footwear" xr:uid="{D9E179C4-82B9-4704-A62C-878D5EEF31E5}"/>
    <hyperlink ref="B15" location="'PT 3 - dipping bath for tools'!A1" display="Emission scenario for disinfectants used for disinfection of tools by dipping" xr:uid="{4391781A-FFC2-4EB1-A1FA-D6F7D3C99BE0}"/>
    <hyperlink ref="B17" location="'PT 3-vet hyg animal''s feet'!A1" display="Emission scenario for disinfectants used for veterinary hygiene disinfection of animal's feet" xr:uid="{A74A5576-FE76-4D81-8652-69BC4DCB377B}"/>
    <hyperlink ref="B19" location="'PT 3 - hatcheries'!A1" display="Emission scenario for disinfectants used for veterinary hygiene disinfection of hatcheries" xr:uid="{595A3663-E737-4897-BF11-7B3B1C3DD5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DB13-A131-4861-8BB3-DC11D24B6B96}">
  <dimension ref="A1:DR463"/>
  <sheetViews>
    <sheetView zoomScale="86" zoomScaleNormal="86" workbookViewId="0"/>
  </sheetViews>
  <sheetFormatPr defaultColWidth="8.7265625" defaultRowHeight="12.6"/>
  <cols>
    <col min="1" max="1" width="1.6328125" style="52" customWidth="1"/>
    <col min="2" max="2" width="50.6328125" style="58" customWidth="1"/>
    <col min="3" max="3" width="35.6328125" style="58" customWidth="1"/>
    <col min="4" max="4" width="1.6328125" style="58" customWidth="1"/>
    <col min="5" max="5" width="80.6328125" style="58" customWidth="1"/>
    <col min="6" max="6" width="10.6328125" style="58" customWidth="1"/>
    <col min="7" max="7" width="15.6328125" style="58" customWidth="1"/>
    <col min="8" max="8" width="1.6328125" style="58" customWidth="1"/>
    <col min="9" max="9" width="15.6328125" style="58" customWidth="1"/>
    <col min="10" max="12" width="12.90625" style="58" customWidth="1"/>
    <col min="13" max="13" width="12.90625" style="140" customWidth="1"/>
    <col min="14" max="14" width="12.90625" style="54" customWidth="1"/>
    <col min="15" max="29" width="12.90625" style="52" customWidth="1"/>
    <col min="30" max="120" width="8.7265625" style="52"/>
    <col min="121" max="16384" width="8.7265625" style="58"/>
  </cols>
  <sheetData>
    <row r="1" spans="1:29" s="52" customFormat="1">
      <c r="M1" s="53"/>
      <c r="N1" s="54"/>
    </row>
    <row r="2" spans="1:29" ht="45.75" customHeight="1">
      <c r="A2" s="55"/>
      <c r="B2" s="491" t="s">
        <v>191</v>
      </c>
      <c r="C2" s="491"/>
      <c r="D2" s="491"/>
      <c r="E2" s="491"/>
      <c r="F2" s="56"/>
      <c r="G2" s="56"/>
      <c r="H2" s="56"/>
      <c r="I2" s="56"/>
      <c r="J2" s="56"/>
      <c r="K2" s="56"/>
      <c r="L2" s="56"/>
      <c r="M2" s="57"/>
    </row>
    <row r="3" spans="1:29" ht="13.2">
      <c r="A3" s="55"/>
      <c r="B3" s="59"/>
      <c r="C3" s="59"/>
      <c r="D3" s="59"/>
      <c r="E3" s="55"/>
      <c r="F3" s="55"/>
      <c r="G3" s="55"/>
      <c r="H3" s="55"/>
      <c r="I3" s="55"/>
      <c r="J3" s="55"/>
      <c r="K3" s="55"/>
      <c r="L3" s="55"/>
      <c r="M3" s="57"/>
    </row>
    <row r="4" spans="1:29" ht="17.399999999999999">
      <c r="A4" s="55"/>
      <c r="B4" s="492" t="s">
        <v>359</v>
      </c>
      <c r="C4" s="492"/>
      <c r="D4" s="492"/>
      <c r="E4" s="492"/>
      <c r="F4" s="492"/>
      <c r="G4" s="492"/>
      <c r="H4" s="303"/>
      <c r="I4" s="60"/>
      <c r="J4" s="60"/>
      <c r="K4" s="60"/>
      <c r="L4" s="61"/>
      <c r="M4" s="61"/>
      <c r="N4" s="61"/>
      <c r="O4" s="61"/>
      <c r="P4" s="61"/>
      <c r="Q4" s="61"/>
      <c r="R4" s="61"/>
      <c r="S4" s="61"/>
      <c r="T4" s="61"/>
      <c r="U4" s="61"/>
      <c r="V4" s="61"/>
      <c r="W4" s="61"/>
      <c r="X4" s="61"/>
      <c r="Y4" s="61"/>
      <c r="Z4" s="61"/>
      <c r="AA4" s="61"/>
      <c r="AB4" s="61"/>
      <c r="AC4" s="61"/>
    </row>
    <row r="5" spans="1:29" ht="16.2">
      <c r="A5" s="55"/>
      <c r="B5" s="62"/>
      <c r="C5" s="62"/>
      <c r="D5" s="62"/>
      <c r="E5" s="63"/>
      <c r="F5" s="63"/>
      <c r="G5" s="63"/>
      <c r="H5" s="63"/>
      <c r="I5" s="63"/>
      <c r="J5" s="63"/>
      <c r="K5" s="63"/>
      <c r="L5" s="55"/>
      <c r="M5" s="55"/>
    </row>
    <row r="6" spans="1:29" s="52" customFormat="1" ht="14.25" customHeight="1">
      <c r="A6" s="55"/>
      <c r="B6" s="310" t="s">
        <v>118</v>
      </c>
      <c r="C6" s="49"/>
      <c r="D6" s="49"/>
      <c r="E6" s="49"/>
      <c r="F6" s="49"/>
      <c r="G6" s="49"/>
      <c r="H6" s="158"/>
      <c r="I6" s="158"/>
      <c r="J6" s="64"/>
      <c r="K6" s="64"/>
      <c r="L6" s="64"/>
      <c r="M6" s="64"/>
      <c r="N6" s="54"/>
    </row>
    <row r="7" spans="1:29" s="52" customFormat="1" ht="14.25" customHeight="1">
      <c r="A7" s="55"/>
      <c r="B7" s="308" t="s">
        <v>119</v>
      </c>
      <c r="C7" s="158"/>
      <c r="D7" s="158"/>
      <c r="E7" s="158"/>
      <c r="F7" s="158"/>
      <c r="G7" s="158"/>
      <c r="H7" s="158"/>
      <c r="I7" s="158"/>
      <c r="J7" s="64"/>
      <c r="K7" s="64"/>
      <c r="L7" s="64"/>
      <c r="M7" s="64"/>
      <c r="N7" s="54"/>
    </row>
    <row r="8" spans="1:29" s="52" customFormat="1" ht="14.25" customHeight="1">
      <c r="A8" s="55"/>
      <c r="B8" s="308" t="s">
        <v>49</v>
      </c>
      <c r="C8" s="158"/>
      <c r="D8" s="158"/>
      <c r="E8" s="158"/>
      <c r="F8" s="158"/>
      <c r="G8" s="158"/>
      <c r="H8" s="158"/>
      <c r="I8" s="158"/>
      <c r="J8" s="64"/>
      <c r="K8" s="64"/>
      <c r="L8" s="64"/>
      <c r="M8" s="64"/>
      <c r="N8" s="54"/>
    </row>
    <row r="9" spans="1:29" s="52" customFormat="1" ht="14.25" customHeight="1">
      <c r="A9" s="55"/>
      <c r="B9" s="308" t="s">
        <v>120</v>
      </c>
      <c r="C9" s="158"/>
      <c r="D9" s="158"/>
      <c r="E9" s="158"/>
      <c r="F9" s="158"/>
      <c r="G9" s="158"/>
      <c r="H9" s="158"/>
      <c r="I9" s="158"/>
      <c r="J9" s="64"/>
      <c r="K9" s="64"/>
      <c r="L9" s="64"/>
      <c r="M9" s="64"/>
      <c r="N9" s="54"/>
    </row>
    <row r="10" spans="1:29" s="52" customFormat="1" ht="14.25" customHeight="1">
      <c r="A10" s="55"/>
      <c r="B10" s="496" t="s">
        <v>121</v>
      </c>
      <c r="C10" s="496"/>
      <c r="D10" s="496"/>
      <c r="E10" s="496"/>
      <c r="F10" s="496"/>
      <c r="G10" s="496"/>
      <c r="H10" s="496"/>
      <c r="I10" s="158"/>
      <c r="J10" s="64"/>
      <c r="K10" s="64"/>
      <c r="L10" s="64"/>
      <c r="M10" s="64"/>
      <c r="N10" s="54"/>
    </row>
    <row r="11" spans="1:29" s="52" customFormat="1" ht="14.25" customHeight="1">
      <c r="A11" s="55"/>
      <c r="B11" s="308" t="s">
        <v>323</v>
      </c>
      <c r="C11" s="65"/>
      <c r="D11" s="65"/>
      <c r="E11" s="65"/>
      <c r="F11" s="65"/>
      <c r="G11" s="65"/>
      <c r="H11" s="65"/>
      <c r="I11" s="158"/>
      <c r="J11" s="64"/>
      <c r="K11" s="64"/>
      <c r="L11" s="64"/>
      <c r="M11" s="64"/>
      <c r="N11" s="54"/>
    </row>
    <row r="12" spans="1:29" s="52" customFormat="1" ht="14.25" customHeight="1">
      <c r="A12" s="55"/>
      <c r="B12" s="496" t="s">
        <v>122</v>
      </c>
      <c r="C12" s="496"/>
      <c r="D12" s="496"/>
      <c r="E12" s="496"/>
      <c r="F12" s="496"/>
      <c r="G12" s="496"/>
      <c r="H12" s="496"/>
      <c r="I12" s="158"/>
      <c r="J12" s="64"/>
      <c r="K12" s="64"/>
      <c r="L12" s="64"/>
      <c r="M12" s="64"/>
      <c r="N12" s="54"/>
    </row>
    <row r="13" spans="1:29" s="52" customFormat="1" ht="14.25" customHeight="1">
      <c r="A13" s="55"/>
      <c r="B13" s="308" t="s">
        <v>324</v>
      </c>
      <c r="C13" s="65"/>
      <c r="D13" s="65"/>
      <c r="E13" s="65"/>
      <c r="F13" s="65"/>
      <c r="G13" s="65"/>
      <c r="H13" s="65"/>
      <c r="I13" s="158"/>
      <c r="J13" s="64"/>
      <c r="K13" s="64"/>
      <c r="L13" s="64"/>
      <c r="M13" s="64"/>
      <c r="N13" s="54"/>
    </row>
    <row r="14" spans="1:29" s="52" customFormat="1" ht="14.25" customHeight="1">
      <c r="A14" s="55"/>
      <c r="B14" s="308" t="s">
        <v>325</v>
      </c>
      <c r="C14" s="65"/>
      <c r="D14" s="65"/>
      <c r="E14" s="65"/>
      <c r="F14" s="65"/>
      <c r="G14" s="65"/>
      <c r="H14" s="65"/>
      <c r="I14" s="158"/>
      <c r="J14" s="64"/>
      <c r="K14" s="64"/>
      <c r="L14" s="64"/>
      <c r="M14" s="64"/>
      <c r="N14" s="54"/>
    </row>
    <row r="15" spans="1:29" s="52" customFormat="1" ht="14.25" customHeight="1">
      <c r="A15" s="55"/>
      <c r="B15" s="308" t="s">
        <v>123</v>
      </c>
      <c r="C15" s="65"/>
      <c r="D15" s="65"/>
      <c r="E15" s="65"/>
      <c r="F15" s="65"/>
      <c r="G15" s="65"/>
      <c r="H15" s="65"/>
      <c r="I15" s="158"/>
      <c r="J15" s="64"/>
      <c r="K15" s="64"/>
      <c r="L15" s="64"/>
      <c r="M15" s="64"/>
      <c r="N15" s="54"/>
    </row>
    <row r="16" spans="1:29" s="52" customFormat="1" ht="14.25" customHeight="1">
      <c r="A16" s="55"/>
      <c r="B16" s="65"/>
      <c r="C16" s="311"/>
      <c r="D16" s="311"/>
      <c r="E16" s="311"/>
      <c r="F16" s="311"/>
      <c r="G16" s="311"/>
      <c r="H16" s="311"/>
      <c r="I16" s="158"/>
      <c r="J16" s="64"/>
      <c r="K16" s="64"/>
      <c r="L16" s="64"/>
      <c r="M16" s="64"/>
      <c r="N16" s="54"/>
    </row>
    <row r="17" spans="1:29" s="67" customFormat="1" ht="13.8">
      <c r="A17" s="66"/>
      <c r="B17" s="68" t="s">
        <v>125</v>
      </c>
      <c r="C17" s="69"/>
      <c r="D17" s="69"/>
      <c r="E17" s="69"/>
      <c r="F17" s="69"/>
      <c r="G17" s="70"/>
      <c r="H17" s="70"/>
      <c r="I17" s="70"/>
      <c r="J17" s="71"/>
      <c r="K17" s="71"/>
      <c r="L17" s="71"/>
      <c r="M17" s="71"/>
      <c r="N17" s="66"/>
      <c r="O17" s="66"/>
      <c r="P17" s="66"/>
      <c r="Q17" s="66"/>
    </row>
    <row r="18" spans="1:29" s="72" customFormat="1" ht="13.8">
      <c r="B18" s="505" t="s">
        <v>124</v>
      </c>
      <c r="C18" s="505"/>
      <c r="D18" s="505"/>
      <c r="E18" s="505"/>
      <c r="F18" s="505"/>
      <c r="G18" s="505"/>
      <c r="H18" s="505"/>
      <c r="I18" s="505"/>
      <c r="J18" s="505"/>
      <c r="K18" s="73"/>
      <c r="L18" s="73"/>
      <c r="M18" s="73"/>
      <c r="N18" s="74"/>
      <c r="O18" s="75"/>
    </row>
    <row r="19" spans="1:29" s="52" customFormat="1">
      <c r="A19" s="55"/>
      <c r="B19" s="55"/>
      <c r="C19" s="55"/>
      <c r="D19" s="55"/>
      <c r="E19" s="55"/>
      <c r="F19" s="55"/>
      <c r="G19" s="55"/>
      <c r="H19" s="55"/>
      <c r="I19" s="55"/>
      <c r="J19" s="55"/>
      <c r="K19" s="55"/>
      <c r="L19" s="55"/>
      <c r="M19" s="57"/>
      <c r="N19" s="54"/>
    </row>
    <row r="20" spans="1:29">
      <c r="A20" s="55"/>
      <c r="B20" s="413" t="s">
        <v>493</v>
      </c>
      <c r="C20" s="413"/>
      <c r="D20" s="413"/>
      <c r="E20" s="413"/>
      <c r="F20" s="54"/>
      <c r="G20" s="54"/>
      <c r="H20" s="54"/>
      <c r="I20" s="54"/>
      <c r="J20" s="54"/>
      <c r="K20" s="55"/>
      <c r="L20" s="55"/>
      <c r="M20" s="57"/>
    </row>
    <row r="21" spans="1:29">
      <c r="A21" s="55"/>
      <c r="B21" s="54" t="s">
        <v>54</v>
      </c>
      <c r="C21" s="54"/>
      <c r="D21" s="54"/>
      <c r="E21" s="54"/>
      <c r="F21" s="54"/>
      <c r="G21" s="54"/>
      <c r="H21" s="54"/>
      <c r="I21" s="54"/>
      <c r="J21" s="54"/>
      <c r="K21" s="78"/>
      <c r="L21" s="78"/>
      <c r="M21" s="78"/>
      <c r="N21" s="79"/>
      <c r="O21" s="55"/>
      <c r="P21" s="55"/>
      <c r="Q21" s="55"/>
      <c r="R21" s="55"/>
      <c r="S21" s="55"/>
      <c r="T21" s="55"/>
      <c r="U21" s="55"/>
      <c r="V21" s="55"/>
      <c r="W21" s="55"/>
    </row>
    <row r="22" spans="1:29">
      <c r="A22" s="55"/>
      <c r="B22" s="497" t="s">
        <v>494</v>
      </c>
      <c r="C22" s="498"/>
      <c r="D22" s="498"/>
      <c r="E22" s="498"/>
      <c r="F22" s="498"/>
      <c r="G22" s="498"/>
      <c r="H22" s="498"/>
      <c r="I22" s="412"/>
      <c r="J22" s="412"/>
      <c r="K22" s="78"/>
      <c r="L22" s="78"/>
      <c r="M22" s="78"/>
      <c r="N22" s="79"/>
      <c r="O22" s="55"/>
      <c r="P22" s="55"/>
      <c r="Q22" s="55"/>
      <c r="R22" s="55"/>
      <c r="S22" s="55"/>
      <c r="T22" s="55"/>
      <c r="U22" s="55"/>
      <c r="V22" s="55"/>
      <c r="W22" s="55"/>
    </row>
    <row r="23" spans="1:29" ht="12.75" customHeight="1">
      <c r="A23" s="55"/>
      <c r="B23" s="499" t="s">
        <v>547</v>
      </c>
      <c r="C23" s="500"/>
      <c r="D23" s="500"/>
      <c r="E23" s="500"/>
      <c r="F23" s="500"/>
      <c r="G23" s="500"/>
      <c r="H23" s="500"/>
      <c r="I23" s="500"/>
      <c r="J23" s="500"/>
      <c r="K23" s="78"/>
      <c r="L23" s="78"/>
      <c r="M23" s="78"/>
      <c r="N23" s="79"/>
      <c r="O23" s="55"/>
      <c r="P23" s="55"/>
      <c r="Q23" s="55"/>
      <c r="R23" s="55"/>
      <c r="S23" s="55"/>
      <c r="T23" s="55"/>
      <c r="U23" s="55"/>
      <c r="V23" s="55"/>
      <c r="W23" s="55"/>
    </row>
    <row r="24" spans="1:29" ht="160.5" customHeight="1">
      <c r="A24" s="55"/>
      <c r="B24" s="501" t="s">
        <v>548</v>
      </c>
      <c r="C24" s="502"/>
      <c r="D24" s="502"/>
      <c r="E24" s="502"/>
      <c r="F24" s="502"/>
      <c r="G24" s="502"/>
      <c r="H24" s="502"/>
      <c r="I24" s="502"/>
      <c r="J24" s="502"/>
      <c r="K24" s="78"/>
      <c r="L24" s="78"/>
      <c r="M24" s="78"/>
      <c r="N24" s="79"/>
      <c r="O24" s="55"/>
      <c r="P24" s="55"/>
      <c r="Q24" s="55"/>
      <c r="R24" s="55"/>
      <c r="S24" s="55"/>
      <c r="T24" s="55"/>
      <c r="U24" s="55"/>
      <c r="V24" s="55"/>
      <c r="W24" s="55"/>
    </row>
    <row r="25" spans="1:29">
      <c r="A25" s="55"/>
      <c r="B25" s="414" t="s">
        <v>495</v>
      </c>
      <c r="C25" s="366"/>
      <c r="D25" s="366"/>
      <c r="E25" s="366"/>
      <c r="F25" s="366"/>
      <c r="G25" s="366"/>
      <c r="H25" s="366"/>
      <c r="I25" s="366"/>
      <c r="J25" s="366"/>
      <c r="K25" s="78"/>
      <c r="L25" s="78"/>
      <c r="M25" s="78"/>
      <c r="N25" s="79"/>
      <c r="O25" s="55"/>
      <c r="P25" s="55"/>
      <c r="Q25" s="55"/>
      <c r="R25" s="55"/>
      <c r="S25" s="55"/>
      <c r="T25" s="55"/>
      <c r="U25" s="55"/>
      <c r="V25" s="55"/>
      <c r="W25" s="55"/>
    </row>
    <row r="26" spans="1:29">
      <c r="A26" s="55"/>
      <c r="B26" s="414" t="s">
        <v>496</v>
      </c>
      <c r="C26" s="54"/>
      <c r="D26" s="54"/>
      <c r="E26" s="54"/>
      <c r="F26" s="54"/>
      <c r="G26" s="54"/>
      <c r="H26" s="54"/>
      <c r="I26" s="54"/>
      <c r="J26" s="54"/>
      <c r="K26" s="78"/>
      <c r="L26" s="78"/>
      <c r="M26" s="78"/>
      <c r="N26" s="79"/>
      <c r="O26" s="55"/>
      <c r="P26" s="55"/>
      <c r="Q26" s="55"/>
      <c r="R26" s="55"/>
      <c r="S26" s="55"/>
      <c r="T26" s="55"/>
      <c r="U26" s="55"/>
      <c r="V26" s="55"/>
      <c r="W26" s="55"/>
    </row>
    <row r="27" spans="1:29" ht="12.75" customHeight="1">
      <c r="A27" s="55"/>
      <c r="B27" s="503" t="s">
        <v>549</v>
      </c>
      <c r="C27" s="504"/>
      <c r="D27" s="504"/>
      <c r="E27" s="504"/>
      <c r="F27" s="504"/>
      <c r="G27" s="504"/>
      <c r="H27" s="504"/>
      <c r="I27" s="504"/>
      <c r="J27" s="504"/>
      <c r="K27" s="78"/>
      <c r="L27" s="78"/>
      <c r="M27" s="78"/>
      <c r="N27" s="79"/>
      <c r="O27" s="55"/>
      <c r="P27" s="55"/>
      <c r="Q27" s="55"/>
      <c r="R27" s="55"/>
      <c r="S27" s="55"/>
      <c r="T27" s="55"/>
      <c r="U27" s="55"/>
      <c r="V27" s="55"/>
      <c r="W27" s="55"/>
    </row>
    <row r="28" spans="1:29">
      <c r="A28" s="55"/>
      <c r="B28" s="414" t="s">
        <v>497</v>
      </c>
      <c r="C28" s="366"/>
      <c r="D28" s="366"/>
      <c r="E28" s="366"/>
      <c r="F28" s="366"/>
      <c r="G28" s="366"/>
      <c r="H28" s="366"/>
      <c r="I28" s="366"/>
      <c r="J28" s="366"/>
      <c r="K28" s="78"/>
      <c r="L28" s="78"/>
      <c r="M28" s="78"/>
      <c r="N28" s="79"/>
      <c r="O28" s="55"/>
      <c r="P28" s="55"/>
      <c r="Q28" s="55"/>
      <c r="R28" s="55"/>
      <c r="S28" s="55"/>
      <c r="T28" s="55"/>
      <c r="U28" s="55"/>
      <c r="V28" s="55"/>
      <c r="W28" s="55"/>
    </row>
    <row r="29" spans="1:29" ht="26.25" customHeight="1">
      <c r="A29" s="55"/>
      <c r="B29" s="54" t="s">
        <v>111</v>
      </c>
      <c r="C29" s="366"/>
      <c r="D29" s="366"/>
      <c r="E29" s="366"/>
      <c r="F29" s="366"/>
      <c r="G29" s="366"/>
      <c r="H29" s="366"/>
      <c r="I29" s="366"/>
      <c r="J29" s="366"/>
      <c r="K29" s="78"/>
      <c r="L29" s="78"/>
      <c r="M29" s="78"/>
      <c r="N29" s="79"/>
      <c r="O29" s="55"/>
      <c r="P29" s="55"/>
      <c r="Q29" s="55"/>
      <c r="R29" s="55"/>
      <c r="S29" s="55"/>
      <c r="T29" s="55"/>
      <c r="U29" s="55"/>
      <c r="V29" s="55"/>
      <c r="W29" s="55"/>
    </row>
    <row r="30" spans="1:29">
      <c r="A30" s="55"/>
      <c r="B30" s="77"/>
      <c r="C30" s="77"/>
      <c r="D30" s="77"/>
      <c r="E30" s="77"/>
      <c r="F30" s="77"/>
      <c r="G30" s="77"/>
      <c r="H30" s="77"/>
      <c r="I30" s="78"/>
      <c r="J30" s="78"/>
      <c r="K30" s="78"/>
      <c r="L30" s="78"/>
      <c r="M30" s="78"/>
      <c r="N30" s="79"/>
      <c r="O30" s="55"/>
      <c r="P30" s="55"/>
      <c r="Q30" s="55"/>
      <c r="R30" s="55"/>
      <c r="S30" s="55"/>
      <c r="T30" s="55"/>
      <c r="U30" s="55"/>
      <c r="V30" s="55"/>
      <c r="W30" s="55"/>
    </row>
    <row r="31" spans="1:29" ht="16.2">
      <c r="A31" s="55"/>
      <c r="B31" s="80" t="s">
        <v>0</v>
      </c>
      <c r="C31" s="80"/>
      <c r="D31" s="80"/>
      <c r="E31" s="81"/>
      <c r="F31" s="81"/>
      <c r="G31" s="81"/>
      <c r="H31" s="81"/>
      <c r="I31" s="81"/>
      <c r="J31" s="81"/>
      <c r="K31" s="81"/>
      <c r="L31" s="81"/>
      <c r="M31" s="82"/>
      <c r="N31" s="82"/>
      <c r="O31" s="82"/>
      <c r="P31" s="82"/>
      <c r="Q31" s="82"/>
      <c r="R31" s="82"/>
      <c r="S31" s="82"/>
      <c r="T31" s="82"/>
      <c r="U31" s="82"/>
      <c r="V31" s="82"/>
      <c r="W31" s="82"/>
      <c r="X31" s="82"/>
      <c r="Y31" s="82"/>
      <c r="Z31" s="82"/>
      <c r="AA31" s="82"/>
      <c r="AB31" s="82"/>
      <c r="AC31" s="82"/>
    </row>
    <row r="32" spans="1:29">
      <c r="A32" s="55"/>
      <c r="B32" s="83"/>
      <c r="C32" s="83"/>
      <c r="D32" s="83"/>
      <c r="E32" s="83"/>
      <c r="F32" s="83"/>
      <c r="G32" s="83"/>
      <c r="H32" s="83"/>
      <c r="I32" s="83"/>
      <c r="J32" s="83"/>
      <c r="K32" s="83"/>
      <c r="L32" s="83"/>
      <c r="M32" s="84"/>
      <c r="N32" s="85"/>
      <c r="O32" s="86"/>
      <c r="P32" s="86"/>
      <c r="Q32" s="86"/>
      <c r="R32" s="86"/>
      <c r="S32" s="86"/>
      <c r="T32" s="86"/>
      <c r="U32" s="86"/>
      <c r="V32" s="86"/>
      <c r="W32" s="86"/>
      <c r="X32" s="86"/>
      <c r="Y32" s="86"/>
      <c r="Z32" s="86"/>
      <c r="AA32" s="86"/>
      <c r="AB32" s="86"/>
      <c r="AC32" s="86"/>
    </row>
    <row r="33" spans="1:122" s="52" customFormat="1" ht="13.8">
      <c r="A33" s="55"/>
      <c r="B33" s="87" t="s">
        <v>2</v>
      </c>
      <c r="C33" s="88" t="s">
        <v>4</v>
      </c>
      <c r="D33" s="88"/>
      <c r="E33" s="88" t="s">
        <v>9</v>
      </c>
      <c r="F33" s="89" t="s">
        <v>11</v>
      </c>
      <c r="G33" s="89" t="s">
        <v>3</v>
      </c>
      <c r="H33" s="89"/>
      <c r="I33" s="89" t="s">
        <v>7</v>
      </c>
      <c r="J33" s="86"/>
      <c r="K33" s="86"/>
      <c r="L33" s="86"/>
      <c r="M33" s="90"/>
      <c r="N33" s="85"/>
      <c r="O33" s="86"/>
      <c r="P33" s="86"/>
      <c r="Q33" s="86"/>
      <c r="R33" s="86"/>
      <c r="S33" s="86"/>
      <c r="T33" s="86"/>
      <c r="U33" s="86"/>
      <c r="V33" s="86"/>
      <c r="W33" s="86"/>
      <c r="X33" s="86"/>
      <c r="Y33" s="86"/>
      <c r="Z33" s="86"/>
      <c r="AA33" s="86"/>
      <c r="AB33" s="86"/>
      <c r="AC33" s="86"/>
    </row>
    <row r="34" spans="1:122" s="52" customFormat="1">
      <c r="A34" s="55"/>
      <c r="B34" s="91"/>
      <c r="C34" s="83"/>
      <c r="D34" s="83"/>
      <c r="E34" s="83"/>
      <c r="F34" s="83"/>
      <c r="G34" s="83"/>
      <c r="H34" s="83"/>
      <c r="I34" s="84"/>
      <c r="J34" s="86"/>
      <c r="K34" s="86"/>
      <c r="L34" s="86"/>
      <c r="M34" s="90"/>
      <c r="N34" s="85"/>
      <c r="O34" s="86"/>
      <c r="P34" s="86"/>
      <c r="Q34" s="86"/>
      <c r="R34" s="86"/>
      <c r="S34" s="86"/>
      <c r="T34" s="86"/>
      <c r="U34" s="86"/>
      <c r="V34" s="86"/>
      <c r="W34" s="86"/>
      <c r="X34" s="86"/>
      <c r="Y34" s="86"/>
      <c r="Z34" s="86"/>
      <c r="AA34" s="86"/>
      <c r="AB34" s="86"/>
      <c r="AC34" s="86"/>
    </row>
    <row r="35" spans="1:122" s="52" customFormat="1">
      <c r="A35" s="55"/>
      <c r="B35" s="289" t="s">
        <v>307</v>
      </c>
      <c r="C35" s="289"/>
      <c r="D35" s="289"/>
      <c r="E35" s="289"/>
      <c r="F35" s="289"/>
      <c r="G35" s="289"/>
      <c r="H35" s="289"/>
      <c r="I35" s="289"/>
      <c r="J35" s="86"/>
      <c r="K35" s="92"/>
      <c r="L35" s="92"/>
      <c r="M35" s="84"/>
      <c r="N35" s="85"/>
      <c r="O35" s="86"/>
      <c r="P35" s="86"/>
      <c r="Q35" s="86"/>
      <c r="R35" s="86"/>
      <c r="S35" s="86"/>
      <c r="T35" s="86"/>
      <c r="U35" s="86"/>
      <c r="V35" s="86"/>
      <c r="W35" s="86"/>
      <c r="X35" s="86"/>
      <c r="Y35" s="86"/>
      <c r="Z35" s="86"/>
      <c r="AA35" s="86"/>
      <c r="AB35" s="86"/>
      <c r="AC35" s="86"/>
    </row>
    <row r="36" spans="1:122" s="52" customFormat="1" ht="16.8" thickBot="1">
      <c r="A36" s="55"/>
      <c r="B36" s="288"/>
      <c r="C36" s="288"/>
      <c r="D36" s="304"/>
      <c r="E36" s="288"/>
      <c r="F36" s="288"/>
      <c r="G36" s="288"/>
      <c r="H36" s="304"/>
      <c r="I36" s="288"/>
      <c r="J36" s="86"/>
      <c r="K36" s="92"/>
      <c r="L36" s="92"/>
      <c r="M36" s="84"/>
      <c r="N36" s="85"/>
      <c r="O36" s="86"/>
      <c r="P36" s="86"/>
      <c r="Q36" s="86"/>
      <c r="R36" s="86"/>
      <c r="S36" s="86"/>
      <c r="T36" s="86"/>
      <c r="U36" s="86"/>
      <c r="V36" s="86"/>
      <c r="W36" s="86"/>
      <c r="X36" s="86"/>
      <c r="Y36" s="86"/>
      <c r="Z36" s="86"/>
      <c r="AA36" s="86"/>
      <c r="AB36" s="86"/>
      <c r="AC36" s="86"/>
    </row>
    <row r="37" spans="1:122" s="52" customFormat="1" ht="32.4" thickTop="1" thickBot="1">
      <c r="B37" s="363" t="s">
        <v>468</v>
      </c>
      <c r="C37" s="94" t="s">
        <v>95</v>
      </c>
      <c r="D37" s="94"/>
      <c r="E37" s="94" t="s">
        <v>186</v>
      </c>
      <c r="F37" s="98" t="s">
        <v>64</v>
      </c>
      <c r="G37" s="98" t="s">
        <v>5</v>
      </c>
      <c r="H37" s="98"/>
      <c r="I37" s="185" t="s">
        <v>60</v>
      </c>
      <c r="J37" s="86"/>
      <c r="K37" s="92"/>
      <c r="L37" s="92"/>
      <c r="M37" s="86"/>
      <c r="N37" s="85"/>
      <c r="O37" s="86"/>
      <c r="P37" s="86"/>
      <c r="Q37" s="86"/>
      <c r="R37" s="86"/>
      <c r="S37" s="86"/>
      <c r="T37" s="86"/>
      <c r="U37" s="86"/>
      <c r="V37" s="86"/>
      <c r="W37" s="86"/>
      <c r="X37" s="86"/>
      <c r="Y37" s="86"/>
      <c r="Z37" s="86"/>
      <c r="AA37" s="86"/>
      <c r="AB37" s="86"/>
      <c r="AC37" s="86"/>
    </row>
    <row r="38" spans="1:122" s="52" customFormat="1" ht="13.8" thickTop="1" thickBot="1">
      <c r="A38" s="55"/>
      <c r="B38" s="93"/>
      <c r="C38" s="93"/>
      <c r="D38" s="93"/>
      <c r="E38" s="83"/>
      <c r="F38" s="83"/>
      <c r="G38" s="83"/>
      <c r="H38" s="83"/>
      <c r="I38" s="83"/>
      <c r="J38" s="86"/>
      <c r="K38" s="92"/>
      <c r="L38" s="92"/>
      <c r="M38" s="84"/>
      <c r="N38" s="85"/>
      <c r="O38" s="86"/>
      <c r="P38" s="86"/>
      <c r="Q38" s="86"/>
      <c r="R38" s="86"/>
      <c r="S38" s="86"/>
      <c r="T38" s="86"/>
      <c r="U38" s="86"/>
      <c r="V38" s="86"/>
      <c r="W38" s="86"/>
      <c r="X38" s="86"/>
      <c r="Y38" s="86"/>
      <c r="Z38" s="86"/>
      <c r="AA38" s="86"/>
      <c r="AB38" s="86"/>
      <c r="AC38" s="86"/>
    </row>
    <row r="39" spans="1:122" s="52" customFormat="1" ht="40.200000000000003" thickTop="1" thickBot="1">
      <c r="A39" s="55"/>
      <c r="B39" s="305" t="s">
        <v>469</v>
      </c>
      <c r="C39" s="85" t="s">
        <v>470</v>
      </c>
      <c r="D39" s="85"/>
      <c r="E39" s="377" t="s">
        <v>550</v>
      </c>
      <c r="F39" s="340" t="s">
        <v>6</v>
      </c>
      <c r="G39" s="185" t="s">
        <v>321</v>
      </c>
      <c r="H39" s="340"/>
      <c r="I39" s="95"/>
      <c r="J39" s="86"/>
      <c r="K39" s="92"/>
      <c r="L39" s="92"/>
      <c r="M39" s="84"/>
      <c r="N39" s="85"/>
      <c r="O39" s="86"/>
      <c r="P39" s="86"/>
      <c r="Q39" s="86"/>
      <c r="R39" s="86"/>
      <c r="S39" s="86"/>
      <c r="T39" s="86"/>
      <c r="U39" s="86"/>
      <c r="V39" s="86"/>
      <c r="W39" s="86"/>
      <c r="X39" s="86"/>
      <c r="Y39" s="86"/>
      <c r="Z39" s="86"/>
      <c r="AA39" s="86"/>
      <c r="AB39" s="86"/>
      <c r="AC39" s="86"/>
    </row>
    <row r="40" spans="1:122" s="52" customFormat="1" ht="13.8" thickTop="1" thickBot="1">
      <c r="A40" s="55"/>
      <c r="B40" s="495"/>
      <c r="C40" s="495"/>
      <c r="D40" s="495"/>
      <c r="E40" s="495"/>
      <c r="F40" s="339"/>
      <c r="G40" s="83"/>
      <c r="H40" s="83"/>
      <c r="I40" s="83"/>
      <c r="J40" s="86"/>
      <c r="K40" s="92"/>
      <c r="L40" s="92"/>
      <c r="M40" s="84"/>
      <c r="N40" s="85"/>
      <c r="O40" s="86"/>
      <c r="P40" s="86"/>
      <c r="Q40" s="86"/>
      <c r="R40" s="86"/>
      <c r="S40" s="86"/>
      <c r="T40" s="86"/>
      <c r="U40" s="86"/>
      <c r="V40" s="86"/>
      <c r="W40" s="86"/>
      <c r="X40" s="86"/>
      <c r="Y40" s="86"/>
      <c r="Z40" s="86"/>
      <c r="AA40" s="86"/>
      <c r="AB40" s="86"/>
      <c r="AC40" s="86"/>
    </row>
    <row r="41" spans="1:122" s="52" customFormat="1">
      <c r="A41" s="55"/>
      <c r="B41" s="342"/>
      <c r="C41" s="343"/>
      <c r="D41" s="343"/>
      <c r="E41" s="344"/>
      <c r="F41" s="344"/>
      <c r="G41" s="344"/>
      <c r="H41" s="344"/>
      <c r="I41" s="344"/>
      <c r="J41" s="345"/>
      <c r="K41" s="92"/>
      <c r="L41" s="92"/>
      <c r="M41" s="84"/>
      <c r="N41" s="85"/>
      <c r="O41" s="86"/>
      <c r="P41" s="86"/>
      <c r="Q41" s="86"/>
      <c r="R41" s="86"/>
      <c r="S41" s="86"/>
      <c r="T41" s="86"/>
      <c r="U41" s="86"/>
      <c r="V41" s="86"/>
      <c r="W41" s="86"/>
      <c r="X41" s="86"/>
      <c r="Y41" s="86"/>
      <c r="Z41" s="86"/>
      <c r="AA41" s="86"/>
      <c r="AB41" s="86"/>
      <c r="AC41" s="86"/>
    </row>
    <row r="42" spans="1:122" s="52" customFormat="1">
      <c r="A42" s="55"/>
      <c r="B42" s="378" t="s">
        <v>551</v>
      </c>
      <c r="C42" s="93"/>
      <c r="D42" s="93"/>
      <c r="E42" s="83"/>
      <c r="F42" s="83"/>
      <c r="G42" s="83"/>
      <c r="H42" s="83"/>
      <c r="I42" s="83"/>
      <c r="J42" s="347"/>
      <c r="K42" s="92"/>
      <c r="L42" s="92"/>
      <c r="M42" s="84"/>
      <c r="N42" s="85"/>
      <c r="O42" s="86"/>
      <c r="P42" s="86"/>
      <c r="Q42" s="86"/>
      <c r="R42" s="86"/>
      <c r="S42" s="86"/>
      <c r="T42" s="86"/>
      <c r="U42" s="86"/>
      <c r="V42" s="86"/>
      <c r="W42" s="86"/>
      <c r="X42" s="86"/>
      <c r="Y42" s="86"/>
      <c r="Z42" s="86"/>
      <c r="AA42" s="86"/>
      <c r="AB42" s="86"/>
      <c r="AC42" s="86"/>
    </row>
    <row r="43" spans="1:122" s="52" customFormat="1" ht="13.2" thickBot="1">
      <c r="A43" s="55"/>
      <c r="B43" s="341"/>
      <c r="C43" s="93"/>
      <c r="D43" s="93"/>
      <c r="E43" s="83"/>
      <c r="F43" s="83"/>
      <c r="G43" s="83"/>
      <c r="H43" s="83"/>
      <c r="I43" s="83"/>
      <c r="J43" s="347"/>
      <c r="K43" s="92"/>
      <c r="L43" s="92"/>
      <c r="M43" s="84"/>
      <c r="N43" s="85"/>
      <c r="O43" s="86"/>
      <c r="P43" s="86"/>
      <c r="Q43" s="86"/>
      <c r="R43" s="86"/>
      <c r="S43" s="86"/>
      <c r="T43" s="86"/>
      <c r="U43" s="86"/>
      <c r="V43" s="86"/>
      <c r="W43" s="86"/>
      <c r="X43" s="86"/>
      <c r="Y43" s="86"/>
      <c r="Z43" s="86"/>
      <c r="AA43" s="86"/>
      <c r="AB43" s="86"/>
      <c r="AC43" s="86"/>
    </row>
    <row r="44" spans="1:122" ht="27.6" thickTop="1" thickBot="1">
      <c r="A44" s="55"/>
      <c r="B44" s="429" t="s">
        <v>471</v>
      </c>
      <c r="C44" s="106" t="s">
        <v>472</v>
      </c>
      <c r="D44" s="106"/>
      <c r="E44" s="99" t="s">
        <v>317</v>
      </c>
      <c r="F44" s="101" t="s">
        <v>6</v>
      </c>
      <c r="G44" s="185" t="s">
        <v>321</v>
      </c>
      <c r="H44" s="101"/>
      <c r="I44" s="95"/>
      <c r="J44" s="346"/>
      <c r="K44" s="86"/>
      <c r="L44" s="86"/>
      <c r="M44" s="90"/>
      <c r="N44" s="85"/>
      <c r="O44" s="86"/>
      <c r="P44" s="86"/>
      <c r="Q44" s="86"/>
      <c r="R44" s="86"/>
      <c r="S44" s="86"/>
      <c r="T44" s="86"/>
      <c r="U44" s="86"/>
      <c r="V44" s="86"/>
      <c r="W44" s="86"/>
      <c r="X44" s="86"/>
      <c r="Y44" s="86"/>
      <c r="Z44" s="86"/>
      <c r="AA44" s="86"/>
      <c r="AB44" s="86"/>
      <c r="AC44" s="86"/>
    </row>
    <row r="45" spans="1:122" ht="13.2" thickTop="1">
      <c r="A45" s="55"/>
      <c r="B45" s="429"/>
      <c r="C45" s="99"/>
      <c r="D45" s="99"/>
      <c r="E45" s="106"/>
      <c r="F45" s="101"/>
      <c r="G45" s="101"/>
      <c r="H45" s="101"/>
      <c r="I45" s="98"/>
      <c r="J45" s="346"/>
      <c r="K45" s="86"/>
      <c r="L45" s="86"/>
      <c r="M45" s="90"/>
      <c r="N45" s="85"/>
      <c r="O45" s="86"/>
      <c r="P45" s="86"/>
      <c r="Q45" s="86"/>
      <c r="R45" s="86"/>
      <c r="S45" s="86"/>
      <c r="T45" s="86"/>
      <c r="U45" s="86"/>
      <c r="V45" s="86"/>
      <c r="W45" s="86"/>
      <c r="X45" s="86"/>
      <c r="Y45" s="86"/>
      <c r="Z45" s="86"/>
      <c r="AA45" s="86"/>
      <c r="AB45" s="86"/>
      <c r="AC45" s="86"/>
    </row>
    <row r="46" spans="1:122" ht="25.2">
      <c r="A46" s="55"/>
      <c r="B46" s="429" t="s">
        <v>315</v>
      </c>
      <c r="C46" s="94" t="s">
        <v>316</v>
      </c>
      <c r="D46" s="94"/>
      <c r="E46" s="99" t="s">
        <v>410</v>
      </c>
      <c r="F46" s="101" t="s">
        <v>6</v>
      </c>
      <c r="G46" s="101" t="s">
        <v>5</v>
      </c>
      <c r="H46" s="98"/>
      <c r="I46" s="95"/>
      <c r="J46" s="346"/>
      <c r="K46" s="86"/>
      <c r="L46" s="86"/>
      <c r="M46" s="90"/>
      <c r="N46" s="85"/>
      <c r="O46" s="86"/>
      <c r="P46" s="86"/>
      <c r="Q46" s="86"/>
      <c r="R46" s="86"/>
      <c r="S46" s="86"/>
      <c r="T46" s="86"/>
      <c r="U46" s="86"/>
      <c r="V46" s="86"/>
      <c r="W46" s="86"/>
      <c r="X46" s="86"/>
      <c r="Y46" s="86"/>
      <c r="Z46" s="86"/>
      <c r="AA46" s="86"/>
      <c r="AB46" s="86"/>
      <c r="AC46" s="86"/>
    </row>
    <row r="47" spans="1:122">
      <c r="A47" s="55"/>
      <c r="B47" s="429"/>
      <c r="C47" s="94"/>
      <c r="D47" s="94"/>
      <c r="E47" s="99"/>
      <c r="F47" s="101"/>
      <c r="G47" s="101"/>
      <c r="H47" s="98"/>
      <c r="I47" s="101"/>
      <c r="J47" s="346"/>
      <c r="K47" s="86"/>
      <c r="L47" s="86"/>
      <c r="M47" s="90"/>
      <c r="N47" s="85"/>
      <c r="O47" s="86"/>
      <c r="P47" s="86"/>
      <c r="Q47" s="86"/>
      <c r="R47" s="86"/>
      <c r="S47" s="86"/>
      <c r="T47" s="86"/>
      <c r="U47" s="86"/>
      <c r="V47" s="86"/>
      <c r="W47" s="86"/>
      <c r="X47" s="86"/>
      <c r="Y47" s="86"/>
      <c r="Z47" s="86"/>
      <c r="AA47" s="86"/>
      <c r="AB47" s="86"/>
      <c r="AC47" s="86"/>
    </row>
    <row r="48" spans="1:122" s="52" customFormat="1">
      <c r="A48" s="55"/>
      <c r="B48" s="430" t="s">
        <v>413</v>
      </c>
      <c r="C48" s="84"/>
      <c r="D48" s="84"/>
      <c r="E48" s="94" t="s">
        <v>414</v>
      </c>
      <c r="F48" s="92" t="s">
        <v>6</v>
      </c>
      <c r="G48" s="101" t="s">
        <v>88</v>
      </c>
      <c r="H48" s="83"/>
      <c r="I48" s="95"/>
      <c r="J48" s="346"/>
      <c r="K48" s="86"/>
      <c r="L48" s="86"/>
      <c r="M48" s="86"/>
      <c r="N48" s="85"/>
      <c r="O48" s="86"/>
      <c r="P48" s="86"/>
      <c r="Q48" s="86"/>
      <c r="R48" s="86"/>
      <c r="S48" s="86"/>
      <c r="T48" s="86"/>
      <c r="U48" s="86"/>
      <c r="V48" s="86"/>
      <c r="W48" s="86"/>
      <c r="X48" s="86"/>
      <c r="Y48" s="86"/>
      <c r="Z48" s="86"/>
      <c r="AA48" s="86"/>
      <c r="AB48" s="86"/>
      <c r="AC48" s="86"/>
      <c r="DQ48" s="58"/>
      <c r="DR48" s="58"/>
    </row>
    <row r="49" spans="1:122" s="52" customFormat="1" ht="13.2" thickBot="1">
      <c r="A49" s="55"/>
      <c r="B49" s="430"/>
      <c r="C49" s="93"/>
      <c r="D49" s="93"/>
      <c r="E49" s="83"/>
      <c r="F49" s="83"/>
      <c r="G49" s="83"/>
      <c r="H49" s="83"/>
      <c r="I49" s="83"/>
      <c r="J49" s="347"/>
      <c r="K49" s="92"/>
      <c r="L49" s="92"/>
      <c r="M49" s="84"/>
      <c r="N49" s="85"/>
      <c r="O49" s="86"/>
      <c r="P49" s="86"/>
      <c r="Q49" s="86"/>
      <c r="R49" s="86"/>
      <c r="S49" s="86"/>
      <c r="T49" s="86"/>
      <c r="U49" s="86"/>
      <c r="V49" s="86"/>
      <c r="W49" s="86"/>
      <c r="X49" s="86"/>
      <c r="Y49" s="86"/>
      <c r="Z49" s="86"/>
      <c r="AA49" s="86"/>
      <c r="AB49" s="86"/>
      <c r="AC49" s="86"/>
    </row>
    <row r="50" spans="1:122" s="52" customFormat="1" ht="16.2" thickBot="1">
      <c r="A50" s="55"/>
      <c r="B50" s="430" t="s">
        <v>319</v>
      </c>
      <c r="C50" s="416" t="s">
        <v>39</v>
      </c>
      <c r="D50" s="417"/>
      <c r="E50" s="417" t="s">
        <v>502</v>
      </c>
      <c r="F50" s="422" t="s">
        <v>6</v>
      </c>
      <c r="G50" s="423" t="s">
        <v>321</v>
      </c>
      <c r="H50" s="344"/>
      <c r="I50" s="424"/>
      <c r="J50" s="346"/>
      <c r="K50" s="86"/>
      <c r="L50" s="86"/>
      <c r="M50" s="86"/>
      <c r="N50" s="85"/>
      <c r="O50" s="86"/>
      <c r="P50" s="86"/>
      <c r="Q50" s="86"/>
      <c r="R50" s="86"/>
      <c r="S50" s="86"/>
      <c r="T50" s="86"/>
      <c r="U50" s="86"/>
      <c r="V50" s="86"/>
      <c r="W50" s="86"/>
      <c r="X50" s="86"/>
      <c r="Y50" s="86"/>
      <c r="Z50" s="86"/>
      <c r="AA50" s="86"/>
      <c r="AB50" s="86"/>
      <c r="AC50" s="86"/>
      <c r="DQ50" s="58"/>
      <c r="DR50" s="58"/>
    </row>
    <row r="51" spans="1:122" s="52" customFormat="1" ht="3" customHeight="1" thickTop="1">
      <c r="A51" s="55"/>
      <c r="B51" s="430"/>
      <c r="C51" s="418"/>
      <c r="D51" s="84"/>
      <c r="E51" s="84"/>
      <c r="F51" s="92"/>
      <c r="G51" s="101"/>
      <c r="H51" s="83"/>
      <c r="I51" s="425"/>
      <c r="J51" s="346"/>
      <c r="K51" s="86"/>
      <c r="L51" s="86"/>
      <c r="M51" s="86"/>
      <c r="N51" s="85"/>
      <c r="O51" s="86"/>
      <c r="P51" s="86"/>
      <c r="Q51" s="86"/>
      <c r="R51" s="86"/>
      <c r="S51" s="86"/>
      <c r="T51" s="86"/>
      <c r="U51" s="86"/>
      <c r="V51" s="86"/>
      <c r="W51" s="86"/>
      <c r="X51" s="86"/>
      <c r="Y51" s="86"/>
      <c r="Z51" s="86"/>
      <c r="AA51" s="86"/>
      <c r="AB51" s="86"/>
      <c r="AC51" s="86"/>
      <c r="DQ51" s="58"/>
      <c r="DR51" s="58"/>
    </row>
    <row r="52" spans="1:122" s="52" customFormat="1" ht="37.799999999999997">
      <c r="A52" s="55"/>
      <c r="B52" s="430"/>
      <c r="C52" s="419"/>
      <c r="D52" s="94"/>
      <c r="E52" s="100" t="s">
        <v>503</v>
      </c>
      <c r="F52" s="101" t="s">
        <v>6</v>
      </c>
      <c r="G52" s="101" t="s">
        <v>411</v>
      </c>
      <c r="H52" s="101"/>
      <c r="I52" s="426"/>
      <c r="J52" s="346"/>
      <c r="K52" s="86"/>
      <c r="L52" s="86"/>
      <c r="M52" s="86"/>
      <c r="N52" s="85"/>
      <c r="O52" s="86"/>
      <c r="P52" s="86"/>
      <c r="Q52" s="86"/>
      <c r="R52" s="86"/>
      <c r="S52" s="86"/>
      <c r="T52" s="86"/>
      <c r="U52" s="86"/>
      <c r="V52" s="86"/>
      <c r="W52" s="86"/>
      <c r="X52" s="86"/>
      <c r="Y52" s="86"/>
      <c r="Z52" s="86"/>
      <c r="AA52" s="86"/>
      <c r="AB52" s="86"/>
      <c r="AC52" s="86"/>
      <c r="DQ52" s="58"/>
      <c r="DR52" s="58"/>
    </row>
    <row r="53" spans="1:122" s="52" customFormat="1" ht="3" customHeight="1">
      <c r="A53" s="55"/>
      <c r="B53" s="430"/>
      <c r="C53" s="419"/>
      <c r="D53" s="94"/>
      <c r="E53" s="164"/>
      <c r="F53" s="92"/>
      <c r="G53" s="101"/>
      <c r="H53" s="101"/>
      <c r="I53" s="425"/>
      <c r="J53" s="346"/>
      <c r="K53" s="86"/>
      <c r="L53" s="86"/>
      <c r="M53" s="86"/>
      <c r="N53" s="85"/>
      <c r="O53" s="86"/>
      <c r="P53" s="86"/>
      <c r="Q53" s="86"/>
      <c r="R53" s="86"/>
      <c r="S53" s="86"/>
      <c r="T53" s="86"/>
      <c r="U53" s="86"/>
      <c r="V53" s="86"/>
      <c r="W53" s="86"/>
      <c r="X53" s="86"/>
      <c r="Y53" s="86"/>
      <c r="Z53" s="86"/>
      <c r="AA53" s="86"/>
      <c r="AB53" s="86"/>
      <c r="AC53" s="86"/>
      <c r="DQ53" s="58"/>
      <c r="DR53" s="58"/>
    </row>
    <row r="54" spans="1:122" s="52" customFormat="1" ht="14.4" thickBot="1">
      <c r="A54" s="55"/>
      <c r="B54" s="430"/>
      <c r="C54" s="420" t="s">
        <v>504</v>
      </c>
      <c r="D54" s="421"/>
      <c r="E54" s="352" t="s">
        <v>505</v>
      </c>
      <c r="F54" s="427" t="s">
        <v>8</v>
      </c>
      <c r="G54" s="354" t="s">
        <v>178</v>
      </c>
      <c r="H54" s="354"/>
      <c r="I54" s="428" t="str">
        <f>IF(AND(G50='Pick-lists &amp; Defaults'!B6,ISNUMBER(as_content),ISNUMBER(density),ISNUMBER(Purity)),as_content*density*Purity/10,IF(AND(G50='Pick-lists &amp; Defaults'!B7,ISNUMBER(as_content),ISNUMBER(Purity)),as_content*Purity/100,"??"))</f>
        <v>??</v>
      </c>
      <c r="J54" s="346"/>
      <c r="K54" s="86"/>
      <c r="L54" s="86"/>
      <c r="M54" s="86"/>
      <c r="N54" s="85"/>
      <c r="O54" s="86"/>
      <c r="P54" s="86"/>
      <c r="Q54" s="86"/>
      <c r="R54" s="86"/>
      <c r="S54" s="86"/>
      <c r="T54" s="86"/>
      <c r="U54" s="86"/>
      <c r="V54" s="86"/>
      <c r="W54" s="86"/>
      <c r="X54" s="86"/>
      <c r="Y54" s="86"/>
      <c r="Z54" s="86"/>
      <c r="AA54" s="86"/>
      <c r="AB54" s="86"/>
      <c r="AC54" s="86"/>
      <c r="DQ54" s="58"/>
      <c r="DR54" s="58"/>
    </row>
    <row r="55" spans="1:122" s="52" customFormat="1">
      <c r="A55" s="55"/>
      <c r="B55" s="430"/>
      <c r="C55" s="84"/>
      <c r="D55" s="84"/>
      <c r="E55" s="84"/>
      <c r="F55" s="92"/>
      <c r="G55" s="101"/>
      <c r="H55" s="101"/>
      <c r="I55" s="92"/>
      <c r="J55" s="346"/>
      <c r="K55" s="86"/>
      <c r="L55" s="86"/>
      <c r="M55" s="86"/>
      <c r="N55" s="85"/>
      <c r="O55" s="86"/>
      <c r="P55" s="86"/>
      <c r="Q55" s="86"/>
      <c r="R55" s="86"/>
      <c r="S55" s="86"/>
      <c r="T55" s="86"/>
      <c r="U55" s="86"/>
      <c r="V55" s="86"/>
      <c r="W55" s="86"/>
      <c r="X55" s="86"/>
      <c r="Y55" s="86"/>
      <c r="Z55" s="86"/>
      <c r="AA55" s="86"/>
      <c r="AB55" s="86"/>
      <c r="AC55" s="86"/>
      <c r="DQ55" s="58"/>
      <c r="DR55" s="58"/>
    </row>
    <row r="56" spans="1:122" s="52" customFormat="1" ht="48" customHeight="1">
      <c r="A56" s="55"/>
      <c r="B56" s="431" t="s">
        <v>473</v>
      </c>
      <c r="C56" s="358" t="s">
        <v>613</v>
      </c>
      <c r="D56" s="84"/>
      <c r="E56" s="379" t="s">
        <v>474</v>
      </c>
      <c r="F56" s="92" t="s">
        <v>8</v>
      </c>
      <c r="G56" s="348" t="str">
        <f>INDEX('Pick-lists &amp; Defaults'!D183:D185,MATCH(G44,units_L,0))</f>
        <v>??</v>
      </c>
      <c r="H56" s="92"/>
      <c r="I56" s="348" t="str">
        <f>IFERROR(Qprod*Fdil*Fbioc,"??")</f>
        <v>??</v>
      </c>
      <c r="J56" s="347"/>
      <c r="K56" s="86"/>
      <c r="L56" s="86"/>
      <c r="M56" s="86"/>
      <c r="N56" s="85"/>
      <c r="O56" s="86"/>
      <c r="P56" s="86"/>
      <c r="Q56" s="86"/>
      <c r="R56" s="86"/>
      <c r="S56" s="86"/>
      <c r="T56" s="86"/>
      <c r="U56" s="86"/>
      <c r="V56" s="86"/>
      <c r="W56" s="86"/>
      <c r="X56" s="86"/>
      <c r="Y56" s="86"/>
      <c r="Z56" s="86"/>
      <c r="AA56" s="86"/>
      <c r="AB56" s="86"/>
      <c r="AC56" s="86"/>
      <c r="DQ56" s="58"/>
      <c r="DR56" s="58"/>
    </row>
    <row r="57" spans="1:122" ht="13.2" thickBot="1">
      <c r="A57" s="55"/>
      <c r="B57" s="351"/>
      <c r="C57" s="352"/>
      <c r="D57" s="352"/>
      <c r="E57" s="353"/>
      <c r="F57" s="354"/>
      <c r="G57" s="354"/>
      <c r="H57" s="355"/>
      <c r="I57" s="355"/>
      <c r="J57" s="356"/>
      <c r="K57" s="86"/>
      <c r="L57" s="86"/>
      <c r="M57" s="90"/>
      <c r="N57" s="85"/>
      <c r="O57" s="86"/>
      <c r="P57" s="86"/>
      <c r="Q57" s="86"/>
      <c r="R57" s="86"/>
      <c r="S57" s="86"/>
      <c r="T57" s="86"/>
      <c r="U57" s="86"/>
      <c r="V57" s="86"/>
      <c r="W57" s="86"/>
      <c r="X57" s="86"/>
      <c r="Y57" s="86"/>
      <c r="Z57" s="86"/>
      <c r="AA57" s="86"/>
      <c r="AB57" s="86"/>
      <c r="AC57" s="86"/>
    </row>
    <row r="58" spans="1:122">
      <c r="A58" s="55"/>
      <c r="B58" s="99"/>
      <c r="C58" s="94"/>
      <c r="D58" s="94"/>
      <c r="E58" s="85"/>
      <c r="F58" s="101"/>
      <c r="G58" s="101"/>
      <c r="H58" s="101"/>
      <c r="I58" s="98"/>
      <c r="J58" s="161"/>
      <c r="K58" s="86"/>
      <c r="L58" s="86"/>
      <c r="M58" s="90"/>
      <c r="N58" s="85"/>
      <c r="O58" s="86"/>
      <c r="P58" s="86"/>
      <c r="Q58" s="86"/>
      <c r="R58" s="86"/>
      <c r="S58" s="86"/>
      <c r="T58" s="86"/>
      <c r="U58" s="86"/>
      <c r="V58" s="86"/>
      <c r="W58" s="86"/>
      <c r="X58" s="86"/>
      <c r="Y58" s="86"/>
      <c r="Z58" s="86"/>
      <c r="AA58" s="86"/>
      <c r="AB58" s="86"/>
      <c r="AC58" s="86"/>
    </row>
    <row r="59" spans="1:122" s="54" customFormat="1">
      <c r="A59" s="55"/>
      <c r="B59" s="93" t="s">
        <v>405</v>
      </c>
      <c r="C59" s="84" t="s">
        <v>416</v>
      </c>
      <c r="D59" s="84"/>
      <c r="E59" s="94" t="s">
        <v>185</v>
      </c>
      <c r="F59" s="92" t="s">
        <v>13</v>
      </c>
      <c r="G59" s="101" t="s">
        <v>5</v>
      </c>
      <c r="H59" s="92"/>
      <c r="I59" s="92">
        <v>4</v>
      </c>
      <c r="J59" s="85"/>
      <c r="K59" s="85"/>
      <c r="L59" s="85"/>
      <c r="M59" s="85"/>
      <c r="N59" s="85"/>
      <c r="O59" s="86"/>
      <c r="P59" s="86"/>
      <c r="Q59" s="86"/>
      <c r="R59" s="86"/>
      <c r="S59" s="86"/>
      <c r="T59" s="86"/>
      <c r="U59" s="86"/>
      <c r="V59" s="86"/>
      <c r="W59" s="86"/>
      <c r="X59" s="86"/>
      <c r="Y59" s="86"/>
      <c r="Z59" s="86"/>
      <c r="AA59" s="86"/>
      <c r="AB59" s="86"/>
      <c r="AC59" s="86"/>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8"/>
      <c r="DR59" s="58"/>
    </row>
    <row r="60" spans="1:122" s="54" customFormat="1" ht="3" customHeight="1">
      <c r="A60" s="55"/>
      <c r="B60" s="93"/>
      <c r="C60" s="84"/>
      <c r="D60" s="84"/>
      <c r="E60" s="94"/>
      <c r="F60" s="92"/>
      <c r="G60" s="101"/>
      <c r="H60" s="92"/>
      <c r="I60" s="92"/>
      <c r="J60" s="85"/>
      <c r="K60" s="85"/>
      <c r="L60" s="85"/>
      <c r="M60" s="85"/>
      <c r="N60" s="85"/>
      <c r="O60" s="86"/>
      <c r="P60" s="86"/>
      <c r="Q60" s="86"/>
      <c r="R60" s="86"/>
      <c r="S60" s="86"/>
      <c r="T60" s="86"/>
      <c r="U60" s="86"/>
      <c r="V60" s="86"/>
      <c r="W60" s="86"/>
      <c r="X60" s="86"/>
      <c r="Y60" s="86"/>
      <c r="Z60" s="86"/>
      <c r="AA60" s="86"/>
      <c r="AB60" s="86"/>
      <c r="AC60" s="86"/>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8"/>
      <c r="DR60" s="58"/>
    </row>
    <row r="61" spans="1:122" s="54" customFormat="1">
      <c r="A61" s="55"/>
      <c r="B61" s="93" t="s">
        <v>406</v>
      </c>
      <c r="C61" s="84" t="s">
        <v>417</v>
      </c>
      <c r="D61" s="84"/>
      <c r="E61" s="94" t="s">
        <v>185</v>
      </c>
      <c r="F61" s="92" t="s">
        <v>13</v>
      </c>
      <c r="G61" s="101" t="s">
        <v>5</v>
      </c>
      <c r="H61" s="92"/>
      <c r="I61" s="92">
        <v>1</v>
      </c>
      <c r="J61" s="85"/>
      <c r="K61" s="85"/>
      <c r="L61" s="85"/>
      <c r="M61" s="85"/>
      <c r="N61" s="85"/>
      <c r="O61" s="86"/>
      <c r="P61" s="86"/>
      <c r="Q61" s="86"/>
      <c r="R61" s="86"/>
      <c r="S61" s="86"/>
      <c r="T61" s="86"/>
      <c r="U61" s="86"/>
      <c r="V61" s="86"/>
      <c r="W61" s="86"/>
      <c r="X61" s="86"/>
      <c r="Y61" s="86"/>
      <c r="Z61" s="86"/>
      <c r="AA61" s="86"/>
      <c r="AB61" s="86"/>
      <c r="AC61" s="86"/>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8"/>
      <c r="DR61" s="58"/>
    </row>
    <row r="62" spans="1:122" s="54" customFormat="1" ht="3" customHeight="1">
      <c r="A62" s="55"/>
      <c r="B62" s="93"/>
      <c r="C62" s="84"/>
      <c r="D62" s="84"/>
      <c r="E62" s="94"/>
      <c r="F62" s="92"/>
      <c r="G62" s="101"/>
      <c r="H62" s="92"/>
      <c r="I62" s="92"/>
      <c r="J62" s="85"/>
      <c r="K62" s="85"/>
      <c r="L62" s="85"/>
      <c r="M62" s="85"/>
      <c r="N62" s="85"/>
      <c r="O62" s="86"/>
      <c r="P62" s="86"/>
      <c r="Q62" s="86"/>
      <c r="R62" s="86"/>
      <c r="S62" s="86"/>
      <c r="T62" s="86"/>
      <c r="U62" s="86"/>
      <c r="V62" s="86"/>
      <c r="W62" s="86"/>
      <c r="X62" s="86"/>
      <c r="Y62" s="86"/>
      <c r="Z62" s="86"/>
      <c r="AA62" s="86"/>
      <c r="AB62" s="86"/>
      <c r="AC62" s="86"/>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8"/>
      <c r="DR62" s="58"/>
    </row>
    <row r="63" spans="1:122" s="54" customFormat="1">
      <c r="A63" s="55"/>
      <c r="B63" s="99" t="s">
        <v>184</v>
      </c>
      <c r="C63" s="94" t="s">
        <v>418</v>
      </c>
      <c r="D63" s="94"/>
      <c r="E63" s="94" t="s">
        <v>522</v>
      </c>
      <c r="F63" s="101" t="s">
        <v>69</v>
      </c>
      <c r="G63" s="101" t="s">
        <v>5</v>
      </c>
      <c r="H63" s="101"/>
      <c r="I63" s="141">
        <f>10*Nlapp_arab</f>
        <v>10</v>
      </c>
      <c r="J63" s="85"/>
      <c r="K63" s="85"/>
      <c r="L63" s="85"/>
      <c r="M63" s="85"/>
      <c r="N63" s="85"/>
      <c r="O63" s="86"/>
      <c r="P63" s="86"/>
      <c r="Q63" s="86"/>
      <c r="R63" s="86"/>
      <c r="S63" s="86"/>
      <c r="T63" s="86"/>
      <c r="U63" s="86"/>
      <c r="V63" s="86"/>
      <c r="W63" s="86"/>
      <c r="X63" s="86"/>
      <c r="Y63" s="86"/>
      <c r="Z63" s="86"/>
      <c r="AA63" s="86"/>
      <c r="AB63" s="86"/>
      <c r="AC63" s="86"/>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8"/>
      <c r="DR63" s="58"/>
    </row>
    <row r="64" spans="1:122" s="54" customFormat="1" ht="3" customHeight="1">
      <c r="A64" s="55"/>
      <c r="B64" s="100"/>
      <c r="C64" s="94"/>
      <c r="D64" s="94"/>
      <c r="E64" s="94"/>
      <c r="F64" s="105"/>
      <c r="G64" s="101"/>
      <c r="H64" s="101"/>
      <c r="I64" s="102"/>
      <c r="J64" s="85"/>
      <c r="K64" s="85"/>
      <c r="L64" s="85"/>
      <c r="M64" s="85"/>
      <c r="N64" s="85"/>
      <c r="O64" s="86"/>
      <c r="P64" s="86"/>
      <c r="Q64" s="86"/>
      <c r="R64" s="86"/>
      <c r="S64" s="86"/>
      <c r="T64" s="86"/>
      <c r="U64" s="86"/>
      <c r="V64" s="86"/>
      <c r="W64" s="86"/>
      <c r="X64" s="86"/>
      <c r="Y64" s="86"/>
      <c r="Z64" s="86"/>
      <c r="AA64" s="86"/>
      <c r="AB64" s="86"/>
      <c r="AC64" s="86"/>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8"/>
      <c r="DR64" s="58"/>
    </row>
    <row r="65" spans="1:122" s="54" customFormat="1">
      <c r="A65" s="55"/>
      <c r="B65" s="99" t="s">
        <v>182</v>
      </c>
      <c r="C65" s="94" t="s">
        <v>44</v>
      </c>
      <c r="D65" s="94"/>
      <c r="E65" s="94"/>
      <c r="F65" s="101" t="s">
        <v>13</v>
      </c>
      <c r="G65" s="101" t="s">
        <v>10</v>
      </c>
      <c r="H65" s="101"/>
      <c r="I65" s="145">
        <v>53</v>
      </c>
      <c r="J65" s="103"/>
      <c r="K65" s="85"/>
      <c r="L65" s="85"/>
      <c r="M65" s="85"/>
      <c r="N65" s="85"/>
      <c r="O65" s="86"/>
      <c r="P65" s="86"/>
      <c r="Q65" s="86"/>
      <c r="R65" s="86"/>
      <c r="S65" s="86"/>
      <c r="T65" s="86"/>
      <c r="U65" s="86"/>
      <c r="V65" s="86"/>
      <c r="W65" s="86"/>
      <c r="X65" s="86"/>
      <c r="Y65" s="86"/>
      <c r="Z65" s="86"/>
      <c r="AA65" s="86"/>
      <c r="AB65" s="86"/>
      <c r="AC65" s="86"/>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8"/>
      <c r="DR65" s="58"/>
    </row>
    <row r="66" spans="1:122" s="54" customFormat="1" ht="3" customHeight="1">
      <c r="A66" s="55"/>
      <c r="B66" s="99"/>
      <c r="C66" s="94"/>
      <c r="D66" s="94"/>
      <c r="E66" s="94"/>
      <c r="F66" s="101"/>
      <c r="G66" s="101"/>
      <c r="H66" s="101"/>
      <c r="I66" s="145"/>
      <c r="J66" s="103"/>
      <c r="K66" s="85"/>
      <c r="L66" s="85"/>
      <c r="M66" s="85"/>
      <c r="N66" s="85"/>
      <c r="O66" s="86"/>
      <c r="P66" s="86"/>
      <c r="Q66" s="86"/>
      <c r="R66" s="86"/>
      <c r="S66" s="86"/>
      <c r="T66" s="86"/>
      <c r="U66" s="86"/>
      <c r="V66" s="86"/>
      <c r="W66" s="86"/>
      <c r="X66" s="86"/>
      <c r="Y66" s="86"/>
      <c r="Z66" s="86"/>
      <c r="AA66" s="86"/>
      <c r="AB66" s="86"/>
      <c r="AC66" s="86"/>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8"/>
      <c r="DR66" s="58"/>
    </row>
    <row r="67" spans="1:122" s="54" customFormat="1">
      <c r="A67" s="55"/>
      <c r="B67" s="99" t="s">
        <v>183</v>
      </c>
      <c r="C67" s="94" t="s">
        <v>153</v>
      </c>
      <c r="D67" s="94"/>
      <c r="E67" s="94" t="s">
        <v>522</v>
      </c>
      <c r="F67" s="101" t="s">
        <v>13</v>
      </c>
      <c r="G67" s="101" t="s">
        <v>10</v>
      </c>
      <c r="H67" s="101"/>
      <c r="I67" s="145">
        <v>365</v>
      </c>
      <c r="J67" s="103"/>
      <c r="K67" s="85"/>
      <c r="L67" s="85"/>
      <c r="M67" s="85"/>
      <c r="N67" s="85"/>
      <c r="O67" s="86"/>
      <c r="P67" s="86"/>
      <c r="Q67" s="86"/>
      <c r="R67" s="86"/>
      <c r="S67" s="86"/>
      <c r="T67" s="86"/>
      <c r="U67" s="86"/>
      <c r="V67" s="86"/>
      <c r="W67" s="86"/>
      <c r="X67" s="86"/>
      <c r="Y67" s="86"/>
      <c r="Z67" s="86"/>
      <c r="AA67" s="86"/>
      <c r="AB67" s="86"/>
      <c r="AC67" s="86"/>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8"/>
      <c r="DR67" s="58"/>
    </row>
    <row r="68" spans="1:122" s="54" customFormat="1" ht="3" customHeight="1">
      <c r="A68" s="55"/>
      <c r="B68" s="99"/>
      <c r="C68" s="94"/>
      <c r="D68" s="94"/>
      <c r="E68" s="94"/>
      <c r="F68" s="101"/>
      <c r="G68" s="101"/>
      <c r="H68" s="101"/>
      <c r="I68" s="101"/>
      <c r="J68" s="85"/>
      <c r="K68" s="85"/>
      <c r="L68" s="85"/>
      <c r="M68" s="85"/>
      <c r="N68" s="85"/>
      <c r="O68" s="86"/>
      <c r="P68" s="86"/>
      <c r="Q68" s="86"/>
      <c r="R68" s="86"/>
      <c r="S68" s="86"/>
      <c r="T68" s="86"/>
      <c r="U68" s="86"/>
      <c r="V68" s="86"/>
      <c r="W68" s="86"/>
      <c r="X68" s="86"/>
      <c r="Y68" s="86"/>
      <c r="Z68" s="86"/>
      <c r="AA68" s="86"/>
      <c r="AB68" s="86"/>
      <c r="AC68" s="86"/>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8"/>
      <c r="DR68" s="58"/>
    </row>
    <row r="69" spans="1:122" s="54" customFormat="1" ht="17.25" customHeight="1">
      <c r="A69" s="55"/>
      <c r="B69" s="99" t="s">
        <v>76</v>
      </c>
      <c r="C69" s="94" t="s">
        <v>168</v>
      </c>
      <c r="D69" s="94"/>
      <c r="E69" s="94" t="s">
        <v>395</v>
      </c>
      <c r="F69" s="92" t="s">
        <v>13</v>
      </c>
      <c r="G69" s="101" t="s">
        <v>116</v>
      </c>
      <c r="H69" s="92"/>
      <c r="I69" s="92">
        <v>1700</v>
      </c>
      <c r="J69" s="85"/>
      <c r="K69" s="85"/>
      <c r="L69" s="85"/>
      <c r="M69" s="85"/>
      <c r="N69" s="85"/>
      <c r="O69" s="86"/>
      <c r="P69" s="86"/>
      <c r="Q69" s="86"/>
      <c r="R69" s="86"/>
      <c r="S69" s="86"/>
      <c r="T69" s="86"/>
      <c r="U69" s="86"/>
      <c r="V69" s="86"/>
      <c r="W69" s="86"/>
      <c r="X69" s="86"/>
      <c r="Y69" s="86"/>
      <c r="Z69" s="86"/>
      <c r="AA69" s="86"/>
      <c r="AB69" s="86"/>
      <c r="AC69" s="86"/>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8"/>
      <c r="DR69" s="58"/>
    </row>
    <row r="70" spans="1:122" s="54" customFormat="1" ht="3" customHeight="1">
      <c r="A70" s="55"/>
      <c r="B70" s="99"/>
      <c r="C70" s="94"/>
      <c r="D70" s="94"/>
      <c r="E70" s="84"/>
      <c r="F70" s="92"/>
      <c r="G70" s="101"/>
      <c r="H70" s="92"/>
      <c r="I70" s="92"/>
      <c r="J70" s="85"/>
      <c r="K70" s="85"/>
      <c r="L70" s="85"/>
      <c r="M70" s="85"/>
      <c r="N70" s="85"/>
      <c r="O70" s="86"/>
      <c r="P70" s="86"/>
      <c r="Q70" s="86"/>
      <c r="R70" s="86"/>
      <c r="S70" s="86"/>
      <c r="T70" s="86"/>
      <c r="U70" s="86"/>
      <c r="V70" s="86"/>
      <c r="W70" s="86"/>
      <c r="X70" s="86"/>
      <c r="Y70" s="86"/>
      <c r="Z70" s="86"/>
      <c r="AA70" s="86"/>
      <c r="AB70" s="86"/>
      <c r="AC70" s="86"/>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8"/>
      <c r="DR70" s="58"/>
    </row>
    <row r="71" spans="1:122" s="54" customFormat="1" ht="15">
      <c r="A71" s="55"/>
      <c r="B71" s="99" t="s">
        <v>165</v>
      </c>
      <c r="C71" s="94" t="s">
        <v>169</v>
      </c>
      <c r="D71" s="94"/>
      <c r="E71" s="94" t="s">
        <v>395</v>
      </c>
      <c r="F71" s="92" t="s">
        <v>13</v>
      </c>
      <c r="G71" s="101" t="s">
        <v>116</v>
      </c>
      <c r="H71" s="92"/>
      <c r="I71" s="92">
        <v>1150</v>
      </c>
      <c r="J71" s="85"/>
      <c r="K71" s="85"/>
      <c r="L71" s="85"/>
      <c r="M71" s="85"/>
      <c r="N71" s="85"/>
      <c r="O71" s="86"/>
      <c r="P71" s="86"/>
      <c r="Q71" s="86"/>
      <c r="R71" s="86"/>
      <c r="S71" s="86"/>
      <c r="T71" s="86"/>
      <c r="U71" s="86"/>
      <c r="V71" s="86"/>
      <c r="W71" s="86"/>
      <c r="X71" s="86"/>
      <c r="Y71" s="86"/>
      <c r="Z71" s="86"/>
      <c r="AA71" s="86"/>
      <c r="AB71" s="86"/>
      <c r="AC71" s="86"/>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8"/>
      <c r="DR71" s="58"/>
    </row>
    <row r="72" spans="1:122" s="54" customFormat="1" ht="3" customHeight="1">
      <c r="A72" s="55"/>
      <c r="B72" s="99"/>
      <c r="C72" s="94"/>
      <c r="D72" s="94"/>
      <c r="E72" s="84"/>
      <c r="F72" s="92"/>
      <c r="G72" s="101"/>
      <c r="H72" s="92"/>
      <c r="I72" s="92"/>
      <c r="J72" s="85"/>
      <c r="K72" s="85"/>
      <c r="L72" s="85"/>
      <c r="M72" s="85"/>
      <c r="N72" s="85"/>
      <c r="O72" s="86"/>
      <c r="P72" s="86"/>
      <c r="Q72" s="86"/>
      <c r="R72" s="86"/>
      <c r="S72" s="86"/>
      <c r="T72" s="86"/>
      <c r="U72" s="86"/>
      <c r="V72" s="86"/>
      <c r="W72" s="86"/>
      <c r="X72" s="86"/>
      <c r="Y72" s="86"/>
      <c r="Z72" s="86"/>
      <c r="AA72" s="86"/>
      <c r="AB72" s="86"/>
      <c r="AC72" s="86"/>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8"/>
      <c r="DR72" s="58"/>
    </row>
    <row r="73" spans="1:122" s="54" customFormat="1" ht="15">
      <c r="A73" s="55"/>
      <c r="B73" s="99" t="s">
        <v>80</v>
      </c>
      <c r="C73" s="106" t="s">
        <v>170</v>
      </c>
      <c r="D73" s="106"/>
      <c r="E73" s="86" t="s">
        <v>475</v>
      </c>
      <c r="F73" s="92" t="s">
        <v>6</v>
      </c>
      <c r="G73" s="101" t="s">
        <v>172</v>
      </c>
      <c r="H73" s="92"/>
      <c r="I73" s="95"/>
      <c r="J73" s="85"/>
      <c r="K73" s="85"/>
      <c r="L73" s="85"/>
      <c r="M73" s="85"/>
      <c r="N73" s="85"/>
      <c r="O73" s="86"/>
      <c r="P73" s="86"/>
      <c r="Q73" s="86"/>
      <c r="R73" s="86"/>
      <c r="S73" s="86"/>
      <c r="T73" s="86"/>
      <c r="U73" s="86"/>
      <c r="V73" s="86"/>
      <c r="W73" s="86"/>
      <c r="X73" s="86"/>
      <c r="Y73" s="86"/>
      <c r="Z73" s="86"/>
      <c r="AA73" s="86"/>
      <c r="AB73" s="86"/>
      <c r="AC73" s="86"/>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8"/>
      <c r="DR73" s="58"/>
    </row>
    <row r="74" spans="1:122" s="52" customFormat="1" ht="3" customHeight="1">
      <c r="A74" s="55"/>
      <c r="B74" s="99"/>
      <c r="C74" s="106"/>
      <c r="D74" s="106"/>
      <c r="E74" s="86"/>
      <c r="F74" s="83"/>
      <c r="G74" s="83"/>
      <c r="H74" s="83"/>
      <c r="I74" s="83"/>
      <c r="J74" s="86"/>
      <c r="K74" s="86"/>
      <c r="L74" s="86"/>
      <c r="M74" s="86"/>
      <c r="N74" s="85"/>
      <c r="O74" s="86"/>
      <c r="P74" s="86"/>
      <c r="Q74" s="86"/>
      <c r="R74" s="86"/>
      <c r="S74" s="86"/>
      <c r="T74" s="86"/>
      <c r="U74" s="86"/>
      <c r="V74" s="86"/>
      <c r="W74" s="86"/>
      <c r="X74" s="86"/>
      <c r="Y74" s="86"/>
      <c r="Z74" s="86"/>
      <c r="AA74" s="86"/>
      <c r="AB74" s="86"/>
      <c r="AC74" s="86"/>
      <c r="DQ74" s="58"/>
      <c r="DR74" s="58"/>
    </row>
    <row r="75" spans="1:122" s="52" customFormat="1" ht="18" customHeight="1">
      <c r="A75" s="55"/>
      <c r="B75" s="99" t="s">
        <v>154</v>
      </c>
      <c r="C75" s="106" t="s">
        <v>155</v>
      </c>
      <c r="D75" s="106"/>
      <c r="E75" s="86" t="s">
        <v>475</v>
      </c>
      <c r="F75" s="101" t="s">
        <v>6</v>
      </c>
      <c r="G75" s="101" t="s">
        <v>407</v>
      </c>
      <c r="H75" s="101"/>
      <c r="I75" s="95"/>
      <c r="J75" s="86"/>
      <c r="K75" s="86"/>
      <c r="L75" s="86"/>
      <c r="M75" s="86"/>
      <c r="N75" s="85"/>
      <c r="O75" s="86"/>
      <c r="P75" s="86"/>
      <c r="Q75" s="86"/>
      <c r="R75" s="86"/>
      <c r="S75" s="86"/>
      <c r="T75" s="86"/>
      <c r="U75" s="86"/>
      <c r="V75" s="86"/>
      <c r="W75" s="86"/>
      <c r="X75" s="86"/>
      <c r="Y75" s="86"/>
      <c r="Z75" s="86"/>
      <c r="AA75" s="86"/>
      <c r="AB75" s="86"/>
      <c r="AC75" s="86"/>
      <c r="DQ75" s="58"/>
      <c r="DR75" s="58"/>
    </row>
    <row r="76" spans="1:122" s="52" customFormat="1" ht="3" customHeight="1">
      <c r="A76" s="55"/>
      <c r="B76" s="99"/>
      <c r="C76" s="106"/>
      <c r="D76" s="106"/>
      <c r="E76" s="161"/>
      <c r="F76" s="102"/>
      <c r="G76" s="102"/>
      <c r="H76" s="102"/>
      <c r="I76" s="83"/>
      <c r="J76" s="86"/>
      <c r="K76" s="86"/>
      <c r="L76" s="86"/>
      <c r="M76" s="86"/>
      <c r="N76" s="85"/>
      <c r="O76" s="86"/>
      <c r="P76" s="86"/>
      <c r="Q76" s="86"/>
      <c r="R76" s="86"/>
      <c r="S76" s="86"/>
      <c r="T76" s="86"/>
      <c r="U76" s="86"/>
      <c r="V76" s="86"/>
      <c r="W76" s="86"/>
      <c r="X76" s="86"/>
      <c r="Y76" s="86"/>
      <c r="Z76" s="86"/>
      <c r="AA76" s="86"/>
      <c r="AB76" s="86"/>
      <c r="AC76" s="86"/>
      <c r="DQ76" s="58"/>
      <c r="DR76" s="58"/>
    </row>
    <row r="77" spans="1:122" s="54" customFormat="1" ht="13.8">
      <c r="A77" s="77"/>
      <c r="B77" s="99" t="s">
        <v>164</v>
      </c>
      <c r="C77" s="106" t="s">
        <v>163</v>
      </c>
      <c r="D77" s="106"/>
      <c r="E77" s="86" t="s">
        <v>475</v>
      </c>
      <c r="F77" s="101" t="s">
        <v>6</v>
      </c>
      <c r="G77" s="101" t="s">
        <v>172</v>
      </c>
      <c r="H77" s="101"/>
      <c r="I77" s="95"/>
      <c r="J77" s="85"/>
      <c r="K77" s="85"/>
      <c r="L77" s="85"/>
      <c r="M77" s="85"/>
      <c r="N77" s="85"/>
      <c r="O77" s="85"/>
      <c r="P77" s="85"/>
      <c r="Q77" s="85"/>
      <c r="R77" s="85"/>
      <c r="S77" s="85"/>
      <c r="T77" s="85"/>
      <c r="U77" s="85"/>
      <c r="V77" s="85"/>
      <c r="W77" s="85"/>
      <c r="X77" s="85"/>
      <c r="Y77" s="85"/>
      <c r="Z77" s="85"/>
      <c r="AA77" s="85"/>
      <c r="AB77" s="85"/>
      <c r="AC77" s="85"/>
      <c r="DQ77" s="176"/>
      <c r="DR77" s="176"/>
    </row>
    <row r="78" spans="1:122" s="52" customFormat="1" ht="3" customHeight="1">
      <c r="A78" s="55"/>
      <c r="B78" s="99"/>
      <c r="C78" s="106"/>
      <c r="D78" s="106"/>
      <c r="E78" s="83"/>
      <c r="F78" s="83"/>
      <c r="G78" s="83"/>
      <c r="H78" s="83"/>
      <c r="I78" s="83"/>
      <c r="J78" s="86"/>
      <c r="K78" s="86"/>
      <c r="L78" s="86"/>
      <c r="M78" s="86"/>
      <c r="N78" s="85"/>
      <c r="O78" s="86"/>
      <c r="P78" s="86"/>
      <c r="Q78" s="86"/>
      <c r="R78" s="86"/>
      <c r="S78" s="86"/>
      <c r="T78" s="86"/>
      <c r="U78" s="86"/>
      <c r="V78" s="86"/>
      <c r="W78" s="86"/>
      <c r="X78" s="86"/>
      <c r="Y78" s="86"/>
      <c r="Z78" s="86"/>
      <c r="AA78" s="86"/>
      <c r="AB78" s="86"/>
      <c r="AC78" s="86"/>
      <c r="DQ78" s="58"/>
      <c r="DR78" s="58"/>
    </row>
    <row r="79" spans="1:122" s="52" customFormat="1" ht="21" customHeight="1">
      <c r="A79" s="55"/>
      <c r="B79" s="99" t="s">
        <v>156</v>
      </c>
      <c r="C79" s="106" t="s">
        <v>157</v>
      </c>
      <c r="D79" s="106"/>
      <c r="E79" s="106"/>
      <c r="F79" s="101" t="s">
        <v>13</v>
      </c>
      <c r="G79" s="101" t="s">
        <v>408</v>
      </c>
      <c r="H79" s="101"/>
      <c r="I79" s="92">
        <v>15</v>
      </c>
      <c r="J79" s="86"/>
      <c r="K79" s="86"/>
      <c r="L79" s="86"/>
      <c r="M79" s="86"/>
      <c r="N79" s="85"/>
      <c r="O79" s="86"/>
      <c r="P79" s="86"/>
      <c r="Q79" s="86"/>
      <c r="R79" s="86"/>
      <c r="S79" s="86"/>
      <c r="T79" s="86"/>
      <c r="U79" s="86"/>
      <c r="V79" s="86"/>
      <c r="W79" s="86"/>
      <c r="X79" s="86"/>
      <c r="Y79" s="86"/>
      <c r="Z79" s="86"/>
      <c r="AA79" s="86"/>
      <c r="AB79" s="86"/>
      <c r="AC79" s="86"/>
      <c r="DQ79" s="58"/>
      <c r="DR79" s="58"/>
    </row>
    <row r="80" spans="1:122" s="52" customFormat="1" ht="3" customHeight="1">
      <c r="A80" s="55"/>
      <c r="B80" s="99"/>
      <c r="C80" s="106"/>
      <c r="D80" s="106"/>
      <c r="E80" s="83"/>
      <c r="F80" s="83"/>
      <c r="G80" s="83"/>
      <c r="H80" s="83"/>
      <c r="I80" s="83"/>
      <c r="J80" s="86"/>
      <c r="K80" s="86"/>
      <c r="L80" s="86"/>
      <c r="M80" s="86"/>
      <c r="N80" s="85"/>
      <c r="O80" s="86"/>
      <c r="P80" s="86"/>
      <c r="Q80" s="86"/>
      <c r="R80" s="86"/>
      <c r="S80" s="86"/>
      <c r="T80" s="86"/>
      <c r="U80" s="86"/>
      <c r="V80" s="86"/>
      <c r="W80" s="86"/>
      <c r="X80" s="86"/>
      <c r="Y80" s="86"/>
      <c r="Z80" s="86"/>
      <c r="AA80" s="86"/>
      <c r="AB80" s="86"/>
      <c r="AC80" s="86"/>
      <c r="DQ80" s="58"/>
      <c r="DR80" s="58"/>
    </row>
    <row r="81" spans="1:122" s="52" customFormat="1" ht="15">
      <c r="A81" s="55"/>
      <c r="B81" s="99" t="s">
        <v>87</v>
      </c>
      <c r="C81" s="93" t="s">
        <v>86</v>
      </c>
      <c r="D81" s="93"/>
      <c r="E81" s="83" t="s">
        <v>523</v>
      </c>
      <c r="F81" s="92" t="s">
        <v>13</v>
      </c>
      <c r="G81" s="101" t="s">
        <v>5</v>
      </c>
      <c r="H81" s="101"/>
      <c r="I81" s="92">
        <v>10</v>
      </c>
      <c r="J81" s="86"/>
      <c r="K81" s="86"/>
      <c r="L81" s="86"/>
      <c r="M81" s="86"/>
      <c r="N81" s="85"/>
      <c r="O81" s="86"/>
      <c r="P81" s="86"/>
      <c r="Q81" s="86"/>
      <c r="R81" s="86"/>
      <c r="S81" s="86"/>
      <c r="T81" s="86"/>
      <c r="U81" s="86"/>
      <c r="V81" s="86"/>
      <c r="W81" s="86"/>
      <c r="X81" s="86"/>
      <c r="Y81" s="86"/>
      <c r="Z81" s="86"/>
      <c r="AA81" s="86"/>
      <c r="AB81" s="86"/>
      <c r="AC81" s="86"/>
      <c r="DQ81" s="58"/>
      <c r="DR81" s="58"/>
    </row>
    <row r="82" spans="1:122" s="52" customFormat="1">
      <c r="A82" s="55"/>
      <c r="B82" s="99"/>
      <c r="C82" s="93"/>
      <c r="D82" s="93"/>
      <c r="E82" s="83"/>
      <c r="F82" s="92"/>
      <c r="G82" s="101"/>
      <c r="H82" s="101"/>
      <c r="I82" s="92"/>
      <c r="J82" s="86"/>
      <c r="K82" s="86"/>
      <c r="L82" s="86"/>
      <c r="M82" s="86"/>
      <c r="N82" s="85"/>
      <c r="O82" s="86"/>
      <c r="P82" s="86"/>
      <c r="Q82" s="86"/>
      <c r="R82" s="86"/>
      <c r="S82" s="86"/>
      <c r="T82" s="86"/>
      <c r="U82" s="86"/>
      <c r="V82" s="86"/>
      <c r="W82" s="86"/>
      <c r="X82" s="86"/>
      <c r="Y82" s="86"/>
      <c r="Z82" s="86"/>
      <c r="AA82" s="86"/>
      <c r="AB82" s="86"/>
      <c r="AC82" s="86"/>
      <c r="DQ82" s="58"/>
      <c r="DR82" s="58"/>
    </row>
    <row r="83" spans="1:122" s="52" customFormat="1">
      <c r="A83" s="55"/>
      <c r="B83" s="334" t="s">
        <v>382</v>
      </c>
      <c r="C83" s="93"/>
      <c r="D83" s="93"/>
      <c r="E83" s="83"/>
      <c r="F83" s="92"/>
      <c r="G83" s="101"/>
      <c r="H83" s="101"/>
      <c r="I83" s="92"/>
      <c r="J83" s="86"/>
      <c r="K83" s="86"/>
      <c r="L83" s="86"/>
      <c r="M83" s="86"/>
      <c r="N83" s="85"/>
      <c r="O83" s="86"/>
      <c r="P83" s="86"/>
      <c r="Q83" s="86"/>
      <c r="R83" s="86"/>
      <c r="S83" s="86"/>
      <c r="T83" s="86"/>
      <c r="U83" s="86"/>
      <c r="V83" s="86"/>
      <c r="W83" s="86"/>
      <c r="X83" s="86"/>
      <c r="Y83" s="86"/>
      <c r="Z83" s="86"/>
      <c r="AA83" s="86"/>
      <c r="AB83" s="86"/>
      <c r="AC83" s="86"/>
      <c r="DQ83" s="58"/>
      <c r="DR83" s="58"/>
    </row>
    <row r="84" spans="1:122" s="52" customFormat="1" ht="3" customHeight="1">
      <c r="A84" s="55"/>
      <c r="B84" s="99"/>
      <c r="C84" s="93"/>
      <c r="D84" s="93"/>
      <c r="E84" s="83"/>
      <c r="F84" s="92"/>
      <c r="G84" s="101"/>
      <c r="H84" s="101"/>
      <c r="I84" s="92"/>
      <c r="J84" s="86"/>
      <c r="K84" s="86"/>
      <c r="L84" s="86"/>
      <c r="M84" s="86"/>
      <c r="N84" s="85"/>
      <c r="O84" s="86"/>
      <c r="P84" s="86"/>
      <c r="Q84" s="86"/>
      <c r="R84" s="86"/>
      <c r="S84" s="86"/>
      <c r="T84" s="86"/>
      <c r="U84" s="86"/>
      <c r="V84" s="86"/>
      <c r="W84" s="86"/>
      <c r="X84" s="86"/>
      <c r="Y84" s="86"/>
      <c r="Z84" s="86"/>
      <c r="AA84" s="86"/>
      <c r="AB84" s="86"/>
      <c r="AC84" s="86"/>
      <c r="DQ84" s="58"/>
      <c r="DR84" s="58"/>
    </row>
    <row r="85" spans="1:122" s="54" customFormat="1" ht="15">
      <c r="A85" s="55"/>
      <c r="B85" s="335" t="s">
        <v>74</v>
      </c>
      <c r="C85" s="94" t="s">
        <v>166</v>
      </c>
      <c r="D85" s="94"/>
      <c r="E85" s="94" t="s">
        <v>185</v>
      </c>
      <c r="F85" s="92" t="s">
        <v>13</v>
      </c>
      <c r="G85" s="92" t="s">
        <v>48</v>
      </c>
      <c r="H85" s="92"/>
      <c r="I85" s="92">
        <v>0.05</v>
      </c>
      <c r="J85" s="85"/>
      <c r="K85" s="85"/>
      <c r="L85" s="85"/>
      <c r="M85" s="85"/>
      <c r="N85" s="85"/>
      <c r="O85" s="86"/>
      <c r="P85" s="86"/>
      <c r="Q85" s="86"/>
      <c r="R85" s="86"/>
      <c r="S85" s="86"/>
      <c r="T85" s="86"/>
      <c r="U85" s="86"/>
      <c r="V85" s="86"/>
      <c r="W85" s="86"/>
      <c r="X85" s="86"/>
      <c r="Y85" s="86"/>
      <c r="Z85" s="86"/>
      <c r="AA85" s="86"/>
      <c r="AB85" s="86"/>
      <c r="AC85" s="86"/>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8"/>
      <c r="DR85" s="58"/>
    </row>
    <row r="86" spans="1:122" s="52" customFormat="1" ht="3" customHeight="1">
      <c r="A86" s="55"/>
      <c r="B86" s="335"/>
      <c r="C86" s="93"/>
      <c r="D86" s="93"/>
      <c r="E86" s="83"/>
      <c r="F86" s="92"/>
      <c r="G86" s="101"/>
      <c r="H86" s="101"/>
      <c r="I86" s="86"/>
      <c r="J86" s="86"/>
      <c r="K86" s="86"/>
      <c r="L86" s="86"/>
      <c r="M86" s="86"/>
      <c r="N86" s="85"/>
      <c r="O86" s="86"/>
      <c r="P86" s="86"/>
      <c r="Q86" s="86"/>
      <c r="R86" s="86"/>
      <c r="S86" s="86"/>
      <c r="T86" s="86"/>
      <c r="U86" s="86"/>
      <c r="V86" s="86"/>
      <c r="W86" s="86"/>
      <c r="X86" s="86"/>
      <c r="Y86" s="86"/>
      <c r="Z86" s="86"/>
      <c r="AA86" s="86"/>
      <c r="AB86" s="86"/>
      <c r="AC86" s="86"/>
      <c r="DQ86" s="58"/>
      <c r="DR86" s="58"/>
    </row>
    <row r="87" spans="1:122" s="52" customFormat="1" ht="25.2">
      <c r="A87" s="55"/>
      <c r="B87" s="335" t="s">
        <v>454</v>
      </c>
      <c r="C87" s="333" t="s">
        <v>376</v>
      </c>
      <c r="D87" s="333"/>
      <c r="E87" s="305" t="s">
        <v>476</v>
      </c>
      <c r="F87" s="92" t="s">
        <v>6</v>
      </c>
      <c r="G87" s="101" t="s">
        <v>10</v>
      </c>
      <c r="H87" s="101"/>
      <c r="I87" s="441"/>
      <c r="J87" s="86"/>
      <c r="K87" s="86"/>
      <c r="L87" s="86"/>
      <c r="M87" s="86"/>
      <c r="N87" s="85"/>
      <c r="O87" s="86"/>
      <c r="P87" s="86"/>
      <c r="Q87" s="86"/>
      <c r="R87" s="86"/>
      <c r="S87" s="86"/>
      <c r="T87" s="86"/>
      <c r="U87" s="86"/>
      <c r="V87" s="86"/>
      <c r="W87" s="86"/>
      <c r="X87" s="86"/>
      <c r="Y87" s="86"/>
      <c r="Z87" s="86"/>
      <c r="AA87" s="86"/>
      <c r="AB87" s="86"/>
      <c r="AC87" s="86"/>
      <c r="DQ87" s="58"/>
      <c r="DR87" s="58"/>
    </row>
    <row r="88" spans="1:122" s="52" customFormat="1" ht="3" customHeight="1">
      <c r="A88" s="55"/>
      <c r="B88" s="335"/>
      <c r="C88" s="93"/>
      <c r="D88" s="93"/>
      <c r="E88" s="99"/>
      <c r="F88" s="92"/>
      <c r="G88" s="101"/>
      <c r="H88" s="101"/>
      <c r="I88" s="86"/>
      <c r="J88" s="86"/>
      <c r="K88" s="86"/>
      <c r="L88" s="86"/>
      <c r="M88" s="86"/>
      <c r="N88" s="85"/>
      <c r="O88" s="86"/>
      <c r="P88" s="86"/>
      <c r="Q88" s="86"/>
      <c r="R88" s="86"/>
      <c r="S88" s="86"/>
      <c r="T88" s="86"/>
      <c r="U88" s="86"/>
      <c r="V88" s="86"/>
      <c r="W88" s="86"/>
      <c r="X88" s="86"/>
      <c r="Y88" s="86"/>
      <c r="Z88" s="86"/>
      <c r="AA88" s="86"/>
      <c r="AB88" s="86"/>
      <c r="AC88" s="86"/>
      <c r="DQ88" s="58"/>
      <c r="DR88" s="58"/>
    </row>
    <row r="89" spans="1:122" s="52" customFormat="1" ht="25.2">
      <c r="A89" s="55"/>
      <c r="B89" s="335" t="s">
        <v>373</v>
      </c>
      <c r="C89" s="99" t="s">
        <v>378</v>
      </c>
      <c r="D89" s="99"/>
      <c r="E89" s="83"/>
      <c r="F89" s="92" t="s">
        <v>6</v>
      </c>
      <c r="G89" s="101" t="s">
        <v>90</v>
      </c>
      <c r="H89" s="101"/>
      <c r="I89" s="441"/>
      <c r="J89" s="86"/>
      <c r="K89" s="86"/>
      <c r="L89" s="86"/>
      <c r="M89" s="86"/>
      <c r="N89" s="85"/>
      <c r="O89" s="86"/>
      <c r="P89" s="86"/>
      <c r="Q89" s="86"/>
      <c r="R89" s="86"/>
      <c r="S89" s="86"/>
      <c r="T89" s="86"/>
      <c r="U89" s="86"/>
      <c r="V89" s="86"/>
      <c r="W89" s="86"/>
      <c r="X89" s="86"/>
      <c r="Y89" s="86"/>
      <c r="Z89" s="86"/>
      <c r="AA89" s="86"/>
      <c r="AB89" s="86"/>
      <c r="AC89" s="86"/>
      <c r="DQ89" s="58"/>
      <c r="DR89" s="58"/>
    </row>
    <row r="90" spans="1:122" s="52" customFormat="1" ht="3" customHeight="1">
      <c r="A90" s="55"/>
      <c r="B90" s="335"/>
      <c r="C90" s="93"/>
      <c r="D90" s="93"/>
      <c r="E90" s="99"/>
      <c r="F90" s="92"/>
      <c r="G90" s="101"/>
      <c r="H90" s="101"/>
      <c r="I90" s="86"/>
      <c r="J90" s="86"/>
      <c r="K90" s="86"/>
      <c r="L90" s="86"/>
      <c r="M90" s="86"/>
      <c r="N90" s="85"/>
      <c r="O90" s="86"/>
      <c r="P90" s="86"/>
      <c r="Q90" s="86"/>
      <c r="R90" s="86"/>
      <c r="S90" s="86"/>
      <c r="T90" s="86"/>
      <c r="U90" s="86"/>
      <c r="V90" s="86"/>
      <c r="W90" s="86"/>
      <c r="X90" s="86"/>
      <c r="Y90" s="86"/>
      <c r="Z90" s="86"/>
      <c r="AA90" s="86"/>
      <c r="AB90" s="86"/>
      <c r="AC90" s="86"/>
      <c r="DQ90" s="58"/>
      <c r="DR90" s="58"/>
    </row>
    <row r="91" spans="1:122" s="52" customFormat="1" ht="25.2">
      <c r="A91" s="55"/>
      <c r="B91" s="335" t="s">
        <v>383</v>
      </c>
      <c r="C91" s="99" t="s">
        <v>379</v>
      </c>
      <c r="D91" s="99"/>
      <c r="E91" s="83"/>
      <c r="F91" s="92" t="s">
        <v>6</v>
      </c>
      <c r="G91" s="101" t="s">
        <v>90</v>
      </c>
      <c r="H91" s="101"/>
      <c r="I91" s="441"/>
      <c r="J91" s="86"/>
      <c r="K91" s="86"/>
      <c r="L91" s="86"/>
      <c r="M91" s="86"/>
      <c r="N91" s="85"/>
      <c r="O91" s="86"/>
      <c r="P91" s="86"/>
      <c r="Q91" s="86"/>
      <c r="R91" s="86"/>
      <c r="S91" s="86"/>
      <c r="T91" s="86"/>
      <c r="U91" s="86"/>
      <c r="V91" s="86"/>
      <c r="W91" s="86"/>
      <c r="X91" s="86"/>
      <c r="Y91" s="86"/>
      <c r="Z91" s="86"/>
      <c r="AA91" s="86"/>
      <c r="AB91" s="86"/>
      <c r="AC91" s="86"/>
      <c r="DQ91" s="58"/>
      <c r="DR91" s="58"/>
    </row>
    <row r="92" spans="1:122" s="52" customFormat="1" ht="3" customHeight="1">
      <c r="A92" s="55"/>
      <c r="B92" s="335"/>
      <c r="C92" s="93"/>
      <c r="D92" s="93"/>
      <c r="E92" s="99"/>
      <c r="F92" s="92"/>
      <c r="G92" s="101"/>
      <c r="H92" s="101"/>
      <c r="I92" s="86"/>
      <c r="J92" s="86"/>
      <c r="K92" s="86"/>
      <c r="L92" s="86"/>
      <c r="M92" s="86"/>
      <c r="N92" s="85"/>
      <c r="O92" s="86"/>
      <c r="P92" s="86"/>
      <c r="Q92" s="86"/>
      <c r="R92" s="86"/>
      <c r="S92" s="86"/>
      <c r="T92" s="86"/>
      <c r="U92" s="86"/>
      <c r="V92" s="86"/>
      <c r="W92" s="86"/>
      <c r="X92" s="86"/>
      <c r="Y92" s="86"/>
      <c r="Z92" s="86"/>
      <c r="AA92" s="86"/>
      <c r="AB92" s="86"/>
      <c r="AC92" s="86"/>
      <c r="DQ92" s="58"/>
      <c r="DR92" s="58"/>
    </row>
    <row r="93" spans="1:122" s="52" customFormat="1" ht="25.2">
      <c r="A93" s="55"/>
      <c r="B93" s="335" t="s">
        <v>385</v>
      </c>
      <c r="C93" s="93" t="s">
        <v>388</v>
      </c>
      <c r="D93" s="93"/>
      <c r="E93" s="83" t="s">
        <v>391</v>
      </c>
      <c r="F93" s="92" t="s">
        <v>8</v>
      </c>
      <c r="G93" s="101" t="s">
        <v>90</v>
      </c>
      <c r="H93" s="101"/>
      <c r="I93" s="142" t="str">
        <f>IF(ISNUMBER(DT50bio_soil_gr), IF(DT50bio_soil_gr=0,0,LN(2)/DT50bio_soil_gr),"??")</f>
        <v>??</v>
      </c>
      <c r="J93" s="161"/>
      <c r="K93" s="86"/>
      <c r="L93" s="86"/>
      <c r="M93" s="86"/>
      <c r="N93" s="85"/>
      <c r="O93" s="86"/>
      <c r="P93" s="86"/>
      <c r="Q93" s="86"/>
      <c r="R93" s="86"/>
      <c r="S93" s="86"/>
      <c r="T93" s="86"/>
      <c r="U93" s="86"/>
      <c r="V93" s="86"/>
      <c r="W93" s="86"/>
      <c r="X93" s="86"/>
      <c r="Y93" s="86"/>
      <c r="Z93" s="86"/>
      <c r="AA93" s="86"/>
      <c r="AB93" s="86"/>
      <c r="AC93" s="86"/>
      <c r="DQ93" s="58"/>
      <c r="DR93" s="58"/>
    </row>
    <row r="94" spans="1:122" s="52" customFormat="1" ht="3" customHeight="1">
      <c r="A94" s="55"/>
      <c r="B94" s="335"/>
      <c r="C94" s="93"/>
      <c r="D94" s="93"/>
      <c r="E94" s="83"/>
      <c r="F94" s="92"/>
      <c r="G94" s="101"/>
      <c r="H94" s="101"/>
      <c r="I94" s="105"/>
      <c r="J94" s="86"/>
      <c r="K94" s="86"/>
      <c r="L94" s="86"/>
      <c r="M94" s="86"/>
      <c r="N94" s="85"/>
      <c r="O94" s="86"/>
      <c r="P94" s="86"/>
      <c r="Q94" s="86"/>
      <c r="R94" s="86"/>
      <c r="S94" s="86"/>
      <c r="T94" s="86"/>
      <c r="U94" s="86"/>
      <c r="V94" s="86"/>
      <c r="W94" s="86"/>
      <c r="X94" s="86"/>
      <c r="Y94" s="86"/>
      <c r="Z94" s="86"/>
      <c r="AA94" s="86"/>
      <c r="AB94" s="86"/>
      <c r="AC94" s="86"/>
      <c r="DQ94" s="58"/>
      <c r="DR94" s="58"/>
    </row>
    <row r="95" spans="1:122" ht="13.8">
      <c r="B95" s="336" t="s">
        <v>386</v>
      </c>
      <c r="C95" s="84" t="s">
        <v>380</v>
      </c>
      <c r="D95" s="84"/>
      <c r="E95" s="83" t="s">
        <v>396</v>
      </c>
      <c r="F95" s="92" t="s">
        <v>8</v>
      </c>
      <c r="G95" s="101" t="s">
        <v>90</v>
      </c>
      <c r="H95" s="101"/>
      <c r="I95" s="142" t="str">
        <f>IF(AND(ISNUMBER(kvolat_gr),ISNUMBER(kleach_gr),ISNUMBER(kdeg_gr)),kvolat_gr+kleach_gr+kdeg_gr,"??")</f>
        <v>??</v>
      </c>
      <c r="J95" s="86"/>
      <c r="K95" s="86"/>
      <c r="L95" s="86"/>
      <c r="M95" s="86"/>
      <c r="N95" s="85"/>
      <c r="O95" s="86"/>
      <c r="P95" s="86"/>
      <c r="Q95" s="86"/>
      <c r="R95" s="86"/>
      <c r="S95" s="86"/>
      <c r="T95" s="86"/>
      <c r="U95" s="86"/>
      <c r="V95" s="86"/>
      <c r="W95" s="86"/>
      <c r="X95" s="86"/>
      <c r="Y95" s="86"/>
      <c r="Z95" s="86"/>
      <c r="AA95" s="86"/>
      <c r="AB95" s="86"/>
      <c r="AC95" s="86"/>
    </row>
    <row r="96" spans="1:122" ht="3" customHeight="1">
      <c r="B96" s="336"/>
      <c r="C96" s="84"/>
      <c r="D96" s="84"/>
      <c r="E96" s="83"/>
      <c r="F96" s="92"/>
      <c r="G96" s="101"/>
      <c r="H96" s="101"/>
      <c r="I96" s="105"/>
      <c r="J96" s="86"/>
      <c r="K96" s="86"/>
      <c r="L96" s="86"/>
      <c r="M96" s="86"/>
      <c r="N96" s="85"/>
      <c r="O96" s="86"/>
      <c r="P96" s="86"/>
      <c r="Q96" s="86"/>
      <c r="R96" s="86"/>
      <c r="S96" s="86"/>
      <c r="T96" s="86"/>
      <c r="U96" s="86"/>
      <c r="V96" s="86"/>
      <c r="W96" s="86"/>
      <c r="X96" s="86"/>
      <c r="Y96" s="86"/>
      <c r="Z96" s="86"/>
      <c r="AA96" s="86"/>
      <c r="AB96" s="86"/>
      <c r="AC96" s="86"/>
    </row>
    <row r="97" spans="1:122" s="54" customFormat="1" ht="24" customHeight="1">
      <c r="A97" s="55"/>
      <c r="B97" s="336" t="s">
        <v>72</v>
      </c>
      <c r="C97" s="84" t="s">
        <v>46</v>
      </c>
      <c r="D97" s="84"/>
      <c r="E97" s="94" t="s">
        <v>187</v>
      </c>
      <c r="F97" s="92" t="s">
        <v>13</v>
      </c>
      <c r="G97" s="101" t="s">
        <v>71</v>
      </c>
      <c r="H97" s="101"/>
      <c r="I97" s="101">
        <v>170</v>
      </c>
      <c r="J97" s="85"/>
      <c r="K97" s="85"/>
      <c r="L97" s="85"/>
      <c r="M97" s="85"/>
      <c r="N97" s="85"/>
      <c r="O97" s="86"/>
      <c r="P97" s="86"/>
      <c r="Q97" s="86"/>
      <c r="R97" s="86"/>
      <c r="S97" s="86"/>
      <c r="T97" s="86"/>
      <c r="U97" s="86"/>
      <c r="V97" s="86"/>
      <c r="W97" s="86"/>
      <c r="X97" s="86"/>
      <c r="Y97" s="86"/>
      <c r="Z97" s="86"/>
      <c r="AA97" s="86"/>
      <c r="AB97" s="86"/>
      <c r="AC97" s="86"/>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8"/>
      <c r="DR97" s="58"/>
    </row>
    <row r="98" spans="1:122" s="54" customFormat="1">
      <c r="A98" s="55"/>
      <c r="B98" s="93"/>
      <c r="C98" s="84"/>
      <c r="D98" s="84"/>
      <c r="E98" s="94"/>
      <c r="F98" s="92"/>
      <c r="G98" s="101"/>
      <c r="H98" s="101"/>
      <c r="I98" s="101"/>
      <c r="J98" s="85"/>
      <c r="K98" s="85"/>
      <c r="L98" s="85"/>
      <c r="M98" s="85"/>
      <c r="N98" s="85"/>
      <c r="O98" s="86"/>
      <c r="P98" s="86"/>
      <c r="Q98" s="86"/>
      <c r="R98" s="86"/>
      <c r="S98" s="86"/>
      <c r="T98" s="86"/>
      <c r="U98" s="86"/>
      <c r="V98" s="86"/>
      <c r="W98" s="86"/>
      <c r="X98" s="86"/>
      <c r="Y98" s="86"/>
      <c r="Z98" s="86"/>
      <c r="AA98" s="86"/>
      <c r="AB98" s="86"/>
      <c r="AC98" s="86"/>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8"/>
      <c r="DR98" s="58"/>
    </row>
    <row r="99" spans="1:122" s="54" customFormat="1">
      <c r="A99" s="55"/>
      <c r="B99" s="334" t="s">
        <v>384</v>
      </c>
      <c r="C99" s="84"/>
      <c r="D99" s="84"/>
      <c r="E99" s="94"/>
      <c r="F99" s="92"/>
      <c r="G99" s="101"/>
      <c r="H99" s="101"/>
      <c r="I99" s="101"/>
      <c r="J99" s="85"/>
      <c r="K99" s="85"/>
      <c r="L99" s="85"/>
      <c r="M99" s="85"/>
      <c r="N99" s="85"/>
      <c r="O99" s="86"/>
      <c r="P99" s="86"/>
      <c r="Q99" s="86"/>
      <c r="R99" s="86"/>
      <c r="S99" s="86"/>
      <c r="T99" s="86"/>
      <c r="U99" s="86"/>
      <c r="V99" s="86"/>
      <c r="W99" s="86"/>
      <c r="X99" s="86"/>
      <c r="Y99" s="86"/>
      <c r="Z99" s="86"/>
      <c r="AA99" s="86"/>
      <c r="AB99" s="86"/>
      <c r="AC99" s="86"/>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8"/>
      <c r="DR99" s="58"/>
    </row>
    <row r="100" spans="1:122" s="54" customFormat="1" ht="3" customHeight="1">
      <c r="A100" s="55"/>
      <c r="B100" s="93"/>
      <c r="C100" s="84"/>
      <c r="D100" s="84"/>
      <c r="E100" s="94"/>
      <c r="F100" s="92"/>
      <c r="G100" s="101"/>
      <c r="H100" s="101"/>
      <c r="I100" s="101"/>
      <c r="J100" s="85"/>
      <c r="K100" s="85"/>
      <c r="L100" s="85"/>
      <c r="M100" s="85"/>
      <c r="N100" s="85"/>
      <c r="O100" s="86"/>
      <c r="P100" s="86"/>
      <c r="Q100" s="86"/>
      <c r="R100" s="86"/>
      <c r="S100" s="86"/>
      <c r="T100" s="86"/>
      <c r="U100" s="86"/>
      <c r="V100" s="86"/>
      <c r="W100" s="86"/>
      <c r="X100" s="86"/>
      <c r="Y100" s="86"/>
      <c r="Z100" s="86"/>
      <c r="AA100" s="86"/>
      <c r="AB100" s="86"/>
      <c r="AC100" s="86"/>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8"/>
      <c r="DR100" s="58"/>
    </row>
    <row r="101" spans="1:122" s="54" customFormat="1" ht="15">
      <c r="A101" s="55"/>
      <c r="B101" s="335" t="s">
        <v>75</v>
      </c>
      <c r="C101" s="94" t="s">
        <v>372</v>
      </c>
      <c r="D101" s="94"/>
      <c r="E101" s="94" t="s">
        <v>185</v>
      </c>
      <c r="F101" s="92" t="s">
        <v>13</v>
      </c>
      <c r="G101" s="92" t="s">
        <v>48</v>
      </c>
      <c r="H101" s="92"/>
      <c r="I101" s="104">
        <v>0.2</v>
      </c>
      <c r="J101" s="85"/>
      <c r="K101" s="85"/>
      <c r="L101" s="85"/>
      <c r="M101" s="85"/>
      <c r="N101" s="85"/>
      <c r="O101" s="86"/>
      <c r="P101" s="86"/>
      <c r="Q101" s="86"/>
      <c r="R101" s="86"/>
      <c r="S101" s="86"/>
      <c r="T101" s="86"/>
      <c r="U101" s="86"/>
      <c r="V101" s="86"/>
      <c r="W101" s="86"/>
      <c r="X101" s="86"/>
      <c r="Y101" s="86"/>
      <c r="Z101" s="86"/>
      <c r="AA101" s="86"/>
      <c r="AB101" s="86"/>
      <c r="AC101" s="86"/>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8"/>
      <c r="DR101" s="58"/>
    </row>
    <row r="102" spans="1:122" s="54" customFormat="1" ht="3" customHeight="1">
      <c r="A102" s="55"/>
      <c r="B102" s="336"/>
      <c r="C102" s="84"/>
      <c r="D102" s="84"/>
      <c r="E102" s="94"/>
      <c r="F102" s="92"/>
      <c r="G102" s="101"/>
      <c r="H102" s="101"/>
      <c r="I102" s="101"/>
      <c r="J102" s="85"/>
      <c r="K102" s="85"/>
      <c r="L102" s="85"/>
      <c r="M102" s="85"/>
      <c r="N102" s="85"/>
      <c r="O102" s="86"/>
      <c r="P102" s="86"/>
      <c r="Q102" s="86"/>
      <c r="R102" s="86"/>
      <c r="S102" s="86"/>
      <c r="T102" s="86"/>
      <c r="U102" s="86"/>
      <c r="V102" s="86"/>
      <c r="W102" s="86"/>
      <c r="X102" s="86"/>
      <c r="Y102" s="86"/>
      <c r="Z102" s="86"/>
      <c r="AA102" s="86"/>
      <c r="AB102" s="86"/>
      <c r="AC102" s="86"/>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8"/>
      <c r="DR102" s="58"/>
    </row>
    <row r="103" spans="1:122" s="52" customFormat="1" ht="25.2">
      <c r="A103" s="55"/>
      <c r="B103" s="335" t="s">
        <v>455</v>
      </c>
      <c r="C103" s="93" t="s">
        <v>377</v>
      </c>
      <c r="D103" s="93"/>
      <c r="E103" s="305" t="s">
        <v>477</v>
      </c>
      <c r="F103" s="92" t="s">
        <v>6</v>
      </c>
      <c r="G103" s="101" t="s">
        <v>10</v>
      </c>
      <c r="H103" s="101"/>
      <c r="I103" s="441"/>
      <c r="J103" s="86"/>
      <c r="K103" s="86"/>
      <c r="L103" s="86"/>
      <c r="M103" s="86"/>
      <c r="N103" s="85"/>
      <c r="O103" s="86"/>
      <c r="P103" s="86"/>
      <c r="Q103" s="86"/>
      <c r="R103" s="86"/>
      <c r="S103" s="86"/>
      <c r="T103" s="86"/>
      <c r="U103" s="86"/>
      <c r="V103" s="86"/>
      <c r="W103" s="86"/>
      <c r="X103" s="86"/>
      <c r="Y103" s="86"/>
      <c r="Z103" s="86"/>
      <c r="AA103" s="86"/>
      <c r="AB103" s="86"/>
      <c r="AC103" s="86"/>
      <c r="DQ103" s="58"/>
      <c r="DR103" s="58"/>
    </row>
    <row r="104" spans="1:122" s="52" customFormat="1" ht="3" customHeight="1">
      <c r="A104" s="55"/>
      <c r="B104" s="335"/>
      <c r="C104" s="93"/>
      <c r="D104" s="93"/>
      <c r="E104" s="83"/>
      <c r="F104" s="92"/>
      <c r="G104" s="101"/>
      <c r="H104" s="101"/>
      <c r="I104" s="86"/>
      <c r="J104" s="86"/>
      <c r="K104" s="86"/>
      <c r="L104" s="86"/>
      <c r="M104" s="86"/>
      <c r="N104" s="85"/>
      <c r="O104" s="86"/>
      <c r="P104" s="86"/>
      <c r="Q104" s="86"/>
      <c r="R104" s="86"/>
      <c r="S104" s="86"/>
      <c r="T104" s="86"/>
      <c r="U104" s="86"/>
      <c r="V104" s="86"/>
      <c r="W104" s="86"/>
      <c r="X104" s="86"/>
      <c r="Y104" s="86"/>
      <c r="Z104" s="86"/>
      <c r="AA104" s="86"/>
      <c r="AB104" s="86"/>
      <c r="AC104" s="86"/>
      <c r="DQ104" s="58"/>
      <c r="DR104" s="58"/>
    </row>
    <row r="105" spans="1:122" s="52" customFormat="1" ht="25.2">
      <c r="A105" s="55"/>
      <c r="B105" s="335" t="s">
        <v>381</v>
      </c>
      <c r="C105" s="99" t="s">
        <v>374</v>
      </c>
      <c r="D105" s="99"/>
      <c r="E105" s="83"/>
      <c r="F105" s="92" t="s">
        <v>6</v>
      </c>
      <c r="G105" s="101" t="s">
        <v>90</v>
      </c>
      <c r="H105" s="101"/>
      <c r="I105" s="441"/>
      <c r="J105" s="86"/>
      <c r="K105" s="86"/>
      <c r="L105" s="86"/>
      <c r="M105" s="86"/>
      <c r="N105" s="85"/>
      <c r="O105" s="86"/>
      <c r="P105" s="86"/>
      <c r="Q105" s="86"/>
      <c r="R105" s="86"/>
      <c r="S105" s="86"/>
      <c r="T105" s="86"/>
      <c r="U105" s="86"/>
      <c r="V105" s="86"/>
      <c r="W105" s="86"/>
      <c r="X105" s="86"/>
      <c r="Y105" s="86"/>
      <c r="Z105" s="86"/>
      <c r="AA105" s="86"/>
      <c r="AB105" s="86"/>
      <c r="AC105" s="86"/>
      <c r="DQ105" s="58"/>
      <c r="DR105" s="58"/>
    </row>
    <row r="106" spans="1:122" s="52" customFormat="1" ht="3" customHeight="1">
      <c r="A106" s="55"/>
      <c r="B106" s="335"/>
      <c r="C106" s="93"/>
      <c r="D106" s="93"/>
      <c r="E106" s="99"/>
      <c r="F106" s="92"/>
      <c r="G106" s="101"/>
      <c r="H106" s="101"/>
      <c r="I106" s="86"/>
      <c r="J106" s="86"/>
      <c r="K106" s="86"/>
      <c r="L106" s="86"/>
      <c r="M106" s="86"/>
      <c r="N106" s="85"/>
      <c r="O106" s="86"/>
      <c r="P106" s="86"/>
      <c r="Q106" s="86"/>
      <c r="R106" s="86"/>
      <c r="S106" s="86"/>
      <c r="T106" s="86"/>
      <c r="U106" s="86"/>
      <c r="V106" s="86"/>
      <c r="W106" s="86"/>
      <c r="X106" s="86"/>
      <c r="Y106" s="86"/>
      <c r="Z106" s="86"/>
      <c r="AA106" s="86"/>
      <c r="AB106" s="86"/>
      <c r="AC106" s="86"/>
      <c r="DQ106" s="58"/>
      <c r="DR106" s="58"/>
    </row>
    <row r="107" spans="1:122" s="52" customFormat="1" ht="25.2">
      <c r="A107" s="55"/>
      <c r="B107" s="335" t="s">
        <v>392</v>
      </c>
      <c r="C107" s="99" t="s">
        <v>375</v>
      </c>
      <c r="D107" s="99"/>
      <c r="E107" s="83"/>
      <c r="F107" s="92" t="s">
        <v>6</v>
      </c>
      <c r="G107" s="101" t="s">
        <v>90</v>
      </c>
      <c r="H107" s="101"/>
      <c r="I107" s="441"/>
      <c r="J107" s="86"/>
      <c r="K107" s="86"/>
      <c r="L107" s="86"/>
      <c r="M107" s="86"/>
      <c r="N107" s="85"/>
      <c r="O107" s="86"/>
      <c r="P107" s="86"/>
      <c r="Q107" s="86"/>
      <c r="R107" s="86"/>
      <c r="S107" s="86"/>
      <c r="T107" s="86"/>
      <c r="U107" s="86"/>
      <c r="V107" s="86"/>
      <c r="W107" s="86"/>
      <c r="X107" s="86"/>
      <c r="Y107" s="86"/>
      <c r="Z107" s="86"/>
      <c r="AA107" s="86"/>
      <c r="AB107" s="86"/>
      <c r="AC107" s="86"/>
      <c r="DQ107" s="58"/>
      <c r="DR107" s="58"/>
    </row>
    <row r="108" spans="1:122" s="52" customFormat="1" ht="3" customHeight="1">
      <c r="A108" s="55"/>
      <c r="B108" s="335"/>
      <c r="C108" s="93"/>
      <c r="D108" s="93"/>
      <c r="E108" s="99"/>
      <c r="F108" s="92"/>
      <c r="G108" s="101"/>
      <c r="H108" s="101"/>
      <c r="I108" s="86"/>
      <c r="J108" s="86"/>
      <c r="K108" s="86"/>
      <c r="L108" s="86"/>
      <c r="M108" s="86"/>
      <c r="N108" s="85"/>
      <c r="O108" s="86"/>
      <c r="P108" s="86"/>
      <c r="Q108" s="86"/>
      <c r="R108" s="86"/>
      <c r="S108" s="86"/>
      <c r="T108" s="86"/>
      <c r="U108" s="86"/>
      <c r="V108" s="86"/>
      <c r="W108" s="86"/>
      <c r="X108" s="86"/>
      <c r="Y108" s="86"/>
      <c r="Z108" s="86"/>
      <c r="AA108" s="86"/>
      <c r="AB108" s="86"/>
      <c r="AC108" s="86"/>
      <c r="DQ108" s="58"/>
      <c r="DR108" s="58"/>
    </row>
    <row r="109" spans="1:122" s="52" customFormat="1" ht="25.2">
      <c r="A109" s="55"/>
      <c r="B109" s="335" t="s">
        <v>393</v>
      </c>
      <c r="C109" s="93" t="s">
        <v>389</v>
      </c>
      <c r="D109" s="93"/>
      <c r="E109" s="83" t="s">
        <v>390</v>
      </c>
      <c r="F109" s="92" t="s">
        <v>8</v>
      </c>
      <c r="G109" s="101" t="s">
        <v>90</v>
      </c>
      <c r="H109" s="101"/>
      <c r="I109" s="142" t="str">
        <f>IF(ISNUMBER(DT50bio_soil_ar), IF(DT50bio_soil_ar=0,0,LN(2)/DT50bio_soil_ar),"??")</f>
        <v>??</v>
      </c>
      <c r="J109" s="161"/>
      <c r="K109" s="86"/>
      <c r="L109" s="86"/>
      <c r="M109" s="86"/>
      <c r="N109" s="85"/>
      <c r="O109" s="86"/>
      <c r="P109" s="86"/>
      <c r="Q109" s="86"/>
      <c r="R109" s="86"/>
      <c r="S109" s="86"/>
      <c r="T109" s="86"/>
      <c r="U109" s="86"/>
      <c r="V109" s="86"/>
      <c r="W109" s="86"/>
      <c r="X109" s="86"/>
      <c r="Y109" s="86"/>
      <c r="Z109" s="86"/>
      <c r="AA109" s="86"/>
      <c r="AB109" s="86"/>
      <c r="AC109" s="86"/>
      <c r="DQ109" s="58"/>
      <c r="DR109" s="58"/>
    </row>
    <row r="110" spans="1:122" s="52" customFormat="1" ht="3" customHeight="1">
      <c r="A110" s="55"/>
      <c r="B110" s="335"/>
      <c r="C110" s="93"/>
      <c r="D110" s="93"/>
      <c r="E110" s="83"/>
      <c r="F110" s="92"/>
      <c r="G110" s="101"/>
      <c r="H110" s="101"/>
      <c r="I110" s="105"/>
      <c r="J110" s="86"/>
      <c r="K110" s="86"/>
      <c r="L110" s="86"/>
      <c r="M110" s="86"/>
      <c r="N110" s="85"/>
      <c r="O110" s="86"/>
      <c r="P110" s="86"/>
      <c r="Q110" s="86"/>
      <c r="R110" s="86"/>
      <c r="S110" s="86"/>
      <c r="T110" s="86"/>
      <c r="U110" s="86"/>
      <c r="V110" s="86"/>
      <c r="W110" s="86"/>
      <c r="X110" s="86"/>
      <c r="Y110" s="86"/>
      <c r="Z110" s="86"/>
      <c r="AA110" s="86"/>
      <c r="AB110" s="86"/>
      <c r="AC110" s="86"/>
      <c r="DQ110" s="58"/>
      <c r="DR110" s="58"/>
    </row>
    <row r="111" spans="1:122" ht="13.8">
      <c r="B111" s="336" t="s">
        <v>394</v>
      </c>
      <c r="C111" s="84" t="s">
        <v>387</v>
      </c>
      <c r="D111" s="84"/>
      <c r="E111" s="83" t="s">
        <v>397</v>
      </c>
      <c r="F111" s="92" t="s">
        <v>8</v>
      </c>
      <c r="G111" s="101" t="s">
        <v>90</v>
      </c>
      <c r="H111" s="101"/>
      <c r="I111" s="142" t="str">
        <f>IF(AND(ISNUMBER(kvolat_ar),ISNUMBER(kleach_ar),ISNUMBER(kdeg_ar)),kvolat_ar+kleach_ar+kdeg_ar,"??")</f>
        <v>??</v>
      </c>
      <c r="J111" s="86"/>
      <c r="K111" s="86"/>
      <c r="L111" s="86"/>
      <c r="M111" s="86"/>
      <c r="N111" s="85"/>
      <c r="O111" s="86"/>
      <c r="P111" s="86"/>
      <c r="Q111" s="86"/>
      <c r="R111" s="86"/>
      <c r="S111" s="86"/>
      <c r="T111" s="86"/>
      <c r="U111" s="86"/>
      <c r="V111" s="86"/>
      <c r="W111" s="86"/>
      <c r="X111" s="86"/>
      <c r="Y111" s="86"/>
      <c r="Z111" s="86"/>
      <c r="AA111" s="86"/>
      <c r="AB111" s="86"/>
      <c r="AC111" s="86"/>
    </row>
    <row r="112" spans="1:122" s="54" customFormat="1" ht="5.0999999999999996" customHeight="1">
      <c r="A112" s="55"/>
      <c r="B112" s="336"/>
      <c r="C112" s="84"/>
      <c r="D112" s="84"/>
      <c r="E112" s="84"/>
      <c r="F112" s="92"/>
      <c r="G112" s="101"/>
      <c r="H112" s="101"/>
      <c r="I112" s="101"/>
      <c r="J112" s="85"/>
      <c r="K112" s="85"/>
      <c r="L112" s="85"/>
      <c r="M112" s="85"/>
      <c r="N112" s="85"/>
      <c r="O112" s="86"/>
      <c r="P112" s="86"/>
      <c r="Q112" s="86"/>
      <c r="R112" s="86"/>
      <c r="S112" s="86"/>
      <c r="T112" s="86"/>
      <c r="U112" s="86"/>
      <c r="V112" s="86"/>
      <c r="W112" s="86"/>
      <c r="X112" s="86"/>
      <c r="Y112" s="86"/>
      <c r="Z112" s="86"/>
      <c r="AA112" s="86"/>
      <c r="AB112" s="86"/>
      <c r="AC112" s="86"/>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8"/>
      <c r="DR112" s="58"/>
    </row>
    <row r="113" spans="1:122" s="54" customFormat="1" ht="15">
      <c r="A113" s="55"/>
      <c r="B113" s="336" t="s">
        <v>73</v>
      </c>
      <c r="C113" s="84" t="s">
        <v>47</v>
      </c>
      <c r="D113" s="84"/>
      <c r="E113" s="94" t="s">
        <v>187</v>
      </c>
      <c r="F113" s="92" t="s">
        <v>13</v>
      </c>
      <c r="G113" s="101" t="s">
        <v>71</v>
      </c>
      <c r="H113" s="101"/>
      <c r="I113" s="101">
        <v>170</v>
      </c>
      <c r="J113" s="85"/>
      <c r="K113" s="85"/>
      <c r="L113" s="85"/>
      <c r="M113" s="85"/>
      <c r="N113" s="85"/>
      <c r="O113" s="86"/>
      <c r="P113" s="86"/>
      <c r="Q113" s="86"/>
      <c r="R113" s="86"/>
      <c r="S113" s="86"/>
      <c r="T113" s="86"/>
      <c r="U113" s="86"/>
      <c r="V113" s="86"/>
      <c r="W113" s="86"/>
      <c r="X113" s="86"/>
      <c r="Y113" s="86"/>
      <c r="Z113" s="86"/>
      <c r="AA113" s="86"/>
      <c r="AB113" s="86"/>
      <c r="AC113" s="86"/>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8"/>
      <c r="DR113" s="58"/>
    </row>
    <row r="114" spans="1:122" s="54" customFormat="1">
      <c r="A114" s="55"/>
      <c r="B114" s="93"/>
      <c r="C114" s="84"/>
      <c r="D114" s="84"/>
      <c r="E114" s="94"/>
      <c r="F114" s="92"/>
      <c r="G114" s="101"/>
      <c r="H114" s="101"/>
      <c r="I114" s="101"/>
      <c r="J114" s="280"/>
      <c r="K114" s="85"/>
      <c r="L114" s="85"/>
      <c r="M114" s="85"/>
      <c r="N114" s="85"/>
      <c r="O114" s="86"/>
      <c r="P114" s="86"/>
      <c r="Q114" s="86"/>
      <c r="R114" s="86"/>
      <c r="S114" s="86"/>
      <c r="T114" s="86"/>
      <c r="U114" s="86"/>
      <c r="V114" s="86"/>
      <c r="W114" s="86"/>
      <c r="X114" s="86"/>
      <c r="Y114" s="86"/>
      <c r="Z114" s="86"/>
      <c r="AA114" s="86"/>
      <c r="AB114" s="86"/>
      <c r="AC114" s="86"/>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8"/>
      <c r="DR114" s="58"/>
    </row>
    <row r="115" spans="1:122" s="54" customFormat="1" ht="33.75" customHeight="1">
      <c r="A115" s="55"/>
      <c r="B115" s="287" t="s">
        <v>264</v>
      </c>
      <c r="C115" s="287" t="s">
        <v>265</v>
      </c>
      <c r="D115" s="367"/>
      <c r="E115" s="94"/>
      <c r="F115" s="267" t="s">
        <v>13</v>
      </c>
      <c r="G115" s="267" t="s">
        <v>266</v>
      </c>
      <c r="H115" s="267"/>
      <c r="I115" s="280">
        <v>2.7799999999999998E-4</v>
      </c>
      <c r="J115" s="280"/>
      <c r="K115" s="85"/>
      <c r="L115" s="85"/>
      <c r="M115" s="85"/>
      <c r="N115" s="85"/>
      <c r="O115" s="86"/>
      <c r="P115" s="86"/>
      <c r="Q115" s="86"/>
      <c r="R115" s="86"/>
      <c r="S115" s="86"/>
      <c r="T115" s="86"/>
      <c r="U115" s="86"/>
      <c r="V115" s="86"/>
      <c r="W115" s="86"/>
      <c r="X115" s="86"/>
      <c r="Y115" s="86"/>
      <c r="Z115" s="86"/>
      <c r="AA115" s="86"/>
      <c r="AB115" s="86"/>
      <c r="AC115" s="86"/>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8"/>
      <c r="DR115" s="58"/>
    </row>
    <row r="116" spans="1:122" s="54" customFormat="1">
      <c r="A116" s="55"/>
      <c r="B116" s="287"/>
      <c r="C116" s="287"/>
      <c r="D116" s="367"/>
      <c r="E116" s="94"/>
      <c r="F116" s="267"/>
      <c r="G116" s="267"/>
      <c r="H116" s="267"/>
      <c r="I116" s="280"/>
      <c r="J116" s="267"/>
      <c r="K116" s="85"/>
      <c r="L116" s="85"/>
      <c r="M116" s="85"/>
      <c r="N116" s="85"/>
      <c r="O116" s="86"/>
      <c r="P116" s="86"/>
      <c r="Q116" s="86"/>
      <c r="R116" s="86"/>
      <c r="S116" s="86"/>
      <c r="T116" s="86"/>
      <c r="U116" s="86"/>
      <c r="V116" s="86"/>
      <c r="W116" s="86"/>
      <c r="X116" s="86"/>
      <c r="Y116" s="86"/>
      <c r="Z116" s="86"/>
      <c r="AA116" s="86"/>
      <c r="AB116" s="86"/>
      <c r="AC116" s="86"/>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8"/>
      <c r="DR116" s="58"/>
    </row>
    <row r="117" spans="1:122" s="54" customFormat="1" ht="13.8">
      <c r="A117" s="55"/>
      <c r="B117" s="317" t="s">
        <v>210</v>
      </c>
      <c r="C117" s="317" t="s">
        <v>210</v>
      </c>
      <c r="D117" s="367"/>
      <c r="E117" s="94"/>
      <c r="F117" s="267" t="s">
        <v>13</v>
      </c>
      <c r="G117" s="267" t="s">
        <v>267</v>
      </c>
      <c r="H117" s="267"/>
      <c r="I117" s="267">
        <v>1</v>
      </c>
      <c r="J117" s="161"/>
      <c r="K117" s="85"/>
      <c r="L117" s="85"/>
      <c r="M117" s="85"/>
      <c r="N117" s="85"/>
      <c r="O117" s="86"/>
      <c r="P117" s="86"/>
      <c r="Q117" s="86"/>
      <c r="R117" s="86"/>
      <c r="S117" s="86"/>
      <c r="T117" s="86"/>
      <c r="U117" s="86"/>
      <c r="V117" s="86"/>
      <c r="W117" s="86"/>
      <c r="X117" s="86"/>
      <c r="Y117" s="86"/>
      <c r="Z117" s="86"/>
      <c r="AA117" s="86"/>
      <c r="AB117" s="86"/>
      <c r="AC117" s="86"/>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8"/>
      <c r="DR117" s="58"/>
    </row>
    <row r="118" spans="1:122" s="54" customFormat="1">
      <c r="A118" s="55"/>
      <c r="B118" s="317"/>
      <c r="C118" s="317"/>
      <c r="D118" s="367"/>
      <c r="E118" s="94"/>
      <c r="F118" s="267"/>
      <c r="G118" s="267"/>
      <c r="H118" s="267"/>
      <c r="I118" s="267"/>
      <c r="J118" s="161"/>
      <c r="K118" s="85"/>
      <c r="L118" s="85"/>
      <c r="M118" s="85"/>
      <c r="N118" s="85"/>
      <c r="O118" s="86"/>
      <c r="P118" s="86"/>
      <c r="Q118" s="86"/>
      <c r="R118" s="86"/>
      <c r="S118" s="86"/>
      <c r="T118" s="86"/>
      <c r="U118" s="86"/>
      <c r="V118" s="86"/>
      <c r="W118" s="86"/>
      <c r="X118" s="86"/>
      <c r="Y118" s="86"/>
      <c r="Z118" s="86"/>
      <c r="AA118" s="86"/>
      <c r="AB118" s="86"/>
      <c r="AC118" s="86"/>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8"/>
      <c r="DR118" s="58"/>
    </row>
    <row r="119" spans="1:122" s="54" customFormat="1" ht="13.8">
      <c r="A119" s="55"/>
      <c r="B119" s="317" t="s">
        <v>297</v>
      </c>
      <c r="C119" s="317" t="s">
        <v>213</v>
      </c>
      <c r="D119" s="367"/>
      <c r="E119" s="94"/>
      <c r="F119" s="267" t="s">
        <v>13</v>
      </c>
      <c r="G119" s="267" t="s">
        <v>268</v>
      </c>
      <c r="H119" s="267"/>
      <c r="I119" s="267">
        <v>365</v>
      </c>
      <c r="J119" s="161"/>
      <c r="K119" s="85"/>
      <c r="L119" s="85"/>
      <c r="M119" s="85"/>
      <c r="N119" s="85"/>
      <c r="O119" s="86"/>
      <c r="P119" s="86"/>
      <c r="Q119" s="86"/>
      <c r="R119" s="86"/>
      <c r="S119" s="86"/>
      <c r="T119" s="86"/>
      <c r="U119" s="86"/>
      <c r="V119" s="86"/>
      <c r="W119" s="86"/>
      <c r="X119" s="86"/>
      <c r="Y119" s="86"/>
      <c r="Z119" s="86"/>
      <c r="AA119" s="86"/>
      <c r="AB119" s="86"/>
      <c r="AC119" s="86"/>
      <c r="AD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8"/>
      <c r="DR119" s="58"/>
    </row>
    <row r="120" spans="1:122" s="54" customFormat="1">
      <c r="A120" s="55"/>
      <c r="B120" s="279"/>
      <c r="C120" s="84"/>
      <c r="D120" s="84"/>
      <c r="E120" s="94"/>
      <c r="F120" s="92"/>
      <c r="G120" s="101"/>
      <c r="H120" s="101"/>
      <c r="I120" s="101"/>
      <c r="J120" s="85"/>
      <c r="K120" s="85"/>
      <c r="L120" s="85"/>
      <c r="M120" s="85"/>
      <c r="N120" s="85"/>
      <c r="O120" s="86"/>
      <c r="P120" s="86"/>
      <c r="Q120" s="86"/>
      <c r="R120" s="86"/>
      <c r="S120" s="86"/>
      <c r="T120" s="86"/>
      <c r="U120" s="86"/>
      <c r="V120" s="86"/>
      <c r="W120" s="86"/>
      <c r="X120" s="86"/>
      <c r="Y120" s="86"/>
      <c r="Z120" s="86"/>
      <c r="AA120" s="86"/>
      <c r="AB120" s="86"/>
      <c r="AC120" s="86"/>
      <c r="AD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8"/>
      <c r="DR120" s="58"/>
    </row>
    <row r="121" spans="1:122" s="55" customFormat="1" ht="126.75" customHeight="1">
      <c r="B121" s="106" t="s">
        <v>112</v>
      </c>
      <c r="C121" s="93" t="s">
        <v>101</v>
      </c>
      <c r="D121" s="93"/>
      <c r="E121" s="83" t="s">
        <v>188</v>
      </c>
      <c r="F121" s="107"/>
      <c r="G121" s="107"/>
      <c r="H121" s="107"/>
      <c r="I121" s="107"/>
      <c r="J121" s="170" t="s">
        <v>15</v>
      </c>
      <c r="K121" s="170" t="s">
        <v>91</v>
      </c>
      <c r="L121" s="170" t="s">
        <v>14</v>
      </c>
      <c r="M121" s="170" t="s">
        <v>92</v>
      </c>
      <c r="N121" s="170" t="s">
        <v>16</v>
      </c>
      <c r="O121" s="170" t="s">
        <v>17</v>
      </c>
      <c r="P121" s="170" t="s">
        <v>18</v>
      </c>
      <c r="Q121" s="170" t="s">
        <v>19</v>
      </c>
      <c r="R121" s="170" t="s">
        <v>20</v>
      </c>
      <c r="S121" s="170" t="s">
        <v>21</v>
      </c>
      <c r="T121" s="170" t="s">
        <v>52</v>
      </c>
      <c r="U121" s="170" t="s">
        <v>22</v>
      </c>
      <c r="V121" s="170" t="s">
        <v>23</v>
      </c>
      <c r="W121" s="170" t="s">
        <v>24</v>
      </c>
      <c r="X121" s="170" t="s">
        <v>25</v>
      </c>
      <c r="Y121" s="170" t="s">
        <v>26</v>
      </c>
      <c r="Z121" s="170" t="s">
        <v>27</v>
      </c>
      <c r="AA121" s="170" t="s">
        <v>28</v>
      </c>
      <c r="AB121" s="170" t="s">
        <v>29</v>
      </c>
      <c r="AC121" s="170" t="s">
        <v>30</v>
      </c>
    </row>
    <row r="122" spans="1:122" s="55" customFormat="1" ht="5.0999999999999996" customHeight="1" thickBot="1">
      <c r="B122" s="106"/>
      <c r="C122" s="93"/>
      <c r="D122" s="93"/>
      <c r="E122" s="83"/>
      <c r="F122" s="107"/>
      <c r="G122" s="107"/>
      <c r="H122" s="107"/>
      <c r="I122" s="107"/>
      <c r="J122" s="108"/>
      <c r="K122" s="108"/>
      <c r="L122" s="108"/>
      <c r="M122" s="108"/>
      <c r="N122" s="108"/>
      <c r="O122" s="108"/>
      <c r="P122" s="108"/>
      <c r="Q122" s="108"/>
      <c r="R122" s="108"/>
      <c r="S122" s="108"/>
      <c r="T122" s="108"/>
      <c r="U122" s="108"/>
      <c r="V122" s="108"/>
      <c r="W122" s="108"/>
      <c r="X122" s="108"/>
      <c r="Y122" s="108"/>
      <c r="Z122" s="108"/>
      <c r="AA122" s="108"/>
      <c r="AB122" s="108"/>
      <c r="AC122" s="108"/>
    </row>
    <row r="123" spans="1:122" s="52" customFormat="1" ht="28.5" customHeight="1" thickTop="1" thickBot="1">
      <c r="B123" s="358" t="s">
        <v>481</v>
      </c>
      <c r="C123" s="144" t="s">
        <v>464</v>
      </c>
      <c r="D123" s="94"/>
      <c r="E123" s="144" t="s">
        <v>479</v>
      </c>
      <c r="F123" s="101" t="s">
        <v>13</v>
      </c>
      <c r="G123" s="142" t="str">
        <f>INDEX('Pick-lists &amp; Defaults'!D187:D189,MATCH(C123,AREA_or_VOLUME,0))</f>
        <v>??</v>
      </c>
      <c r="H123" s="101"/>
      <c r="I123" s="107"/>
      <c r="J123" s="169" t="str">
        <f>INDEX('Pick-lists &amp; Defaults'!C47:C55,MATCH($E$123,Select_area,0))</f>
        <v>??</v>
      </c>
      <c r="K123" s="169" t="str">
        <f>INDEX('Pick-lists &amp; Defaults'!D47:D55,MATCH($E$123,Select_area,0))</f>
        <v>??</v>
      </c>
      <c r="L123" s="169" t="str">
        <f>INDEX('Pick-lists &amp; Defaults'!E47:E55,MATCH($E$123,Select_area,0))</f>
        <v>??</v>
      </c>
      <c r="M123" s="169" t="str">
        <f>INDEX('Pick-lists &amp; Defaults'!F47:F55,MATCH($E$123,Select_area,0))</f>
        <v>??</v>
      </c>
      <c r="N123" s="169" t="str">
        <f>INDEX('Pick-lists &amp; Defaults'!G47:G55,MATCH($E$123,Select_area,0))</f>
        <v>??</v>
      </c>
      <c r="O123" s="169" t="str">
        <f>INDEX('Pick-lists &amp; Defaults'!H47:H55,MATCH($E$123,Select_area,0))</f>
        <v>??</v>
      </c>
      <c r="P123" s="169" t="str">
        <f>INDEX('Pick-lists &amp; Defaults'!I47:I55,MATCH($E$123,Select_area,0))</f>
        <v>??</v>
      </c>
      <c r="Q123" s="169" t="str">
        <f>INDEX('Pick-lists &amp; Defaults'!J47:J55,MATCH($E$123,Select_area,0))</f>
        <v>??</v>
      </c>
      <c r="R123" s="169" t="str">
        <f>INDEX('Pick-lists &amp; Defaults'!K47:K55,MATCH($E$123,Select_area,0))</f>
        <v>??</v>
      </c>
      <c r="S123" s="169" t="str">
        <f>INDEX('Pick-lists &amp; Defaults'!L47:L55,MATCH($E$123,Select_area,0))</f>
        <v>??</v>
      </c>
      <c r="T123" s="169" t="str">
        <f>INDEX('Pick-lists &amp; Defaults'!M47:M55,MATCH($E$123,Select_area,0))</f>
        <v>??</v>
      </c>
      <c r="U123" s="169" t="str">
        <f>INDEX('Pick-lists &amp; Defaults'!N47:N55,MATCH($E$123,Select_area,0))</f>
        <v>??</v>
      </c>
      <c r="V123" s="169" t="str">
        <f>INDEX('Pick-lists &amp; Defaults'!O47:O55,MATCH($E$123,Select_area,0))</f>
        <v>??</v>
      </c>
      <c r="W123" s="169" t="str">
        <f>INDEX('Pick-lists &amp; Defaults'!P47:P55,MATCH($E$123,Select_area,0))</f>
        <v>??</v>
      </c>
      <c r="X123" s="169" t="str">
        <f>INDEX('Pick-lists &amp; Defaults'!Q47:Q55,MATCH($E$123,Select_area,0))</f>
        <v>??</v>
      </c>
      <c r="Y123" s="169" t="str">
        <f>INDEX('Pick-lists &amp; Defaults'!R47:R55,MATCH($E$123,Select_area,0))</f>
        <v>??</v>
      </c>
      <c r="Z123" s="169" t="str">
        <f>INDEX('Pick-lists &amp; Defaults'!S47:S55,MATCH($E$123,Select_area,0))</f>
        <v>??</v>
      </c>
      <c r="AA123" s="169" t="str">
        <f>INDEX('Pick-lists &amp; Defaults'!T47:T55,MATCH($E$123,Select_area,0))</f>
        <v>??</v>
      </c>
      <c r="AB123" s="169" t="str">
        <f>INDEX('Pick-lists &amp; Defaults'!U47:U55,MATCH($E$123,Select_area,0))</f>
        <v>??</v>
      </c>
      <c r="AC123" s="169" t="str">
        <f>INDEX('Pick-lists &amp; Defaults'!V47:V55,MATCH($E$123,Select_area,0))</f>
        <v>??</v>
      </c>
    </row>
    <row r="124" spans="1:122" s="52" customFormat="1" ht="54" thickTop="1">
      <c r="B124" s="96"/>
      <c r="C124" s="109"/>
      <c r="D124" s="109"/>
      <c r="E124" s="337" t="s">
        <v>482</v>
      </c>
      <c r="F124" s="101" t="s">
        <v>6</v>
      </c>
      <c r="G124" s="142" t="str">
        <f>INDEX('Pick-lists &amp; Defaults'!D187:D189,MATCH(C123,AREA_or_VOLUME,0))</f>
        <v>??</v>
      </c>
      <c r="H124" s="101"/>
      <c r="I124" s="164"/>
      <c r="J124" s="95"/>
      <c r="K124" s="95"/>
      <c r="L124" s="95"/>
      <c r="M124" s="95"/>
      <c r="N124" s="95"/>
      <c r="O124" s="95"/>
      <c r="P124" s="95"/>
      <c r="Q124" s="95"/>
      <c r="R124" s="95"/>
      <c r="S124" s="95"/>
      <c r="T124" s="95"/>
      <c r="U124" s="95"/>
      <c r="V124" s="95"/>
      <c r="W124" s="95"/>
      <c r="X124" s="95"/>
      <c r="Y124" s="95"/>
      <c r="Z124" s="95"/>
      <c r="AA124" s="95"/>
      <c r="AB124" s="95"/>
      <c r="AC124" s="95"/>
    </row>
    <row r="125" spans="1:122" s="52" customFormat="1">
      <c r="B125" s="96"/>
      <c r="C125" s="109"/>
      <c r="D125" s="109"/>
      <c r="E125" s="86"/>
      <c r="F125" s="101"/>
      <c r="G125" s="101"/>
      <c r="H125" s="101"/>
      <c r="I125" s="164"/>
      <c r="J125" s="86"/>
      <c r="K125" s="85"/>
      <c r="L125" s="85"/>
      <c r="M125" s="85"/>
      <c r="N125" s="86"/>
      <c r="O125" s="86"/>
      <c r="P125" s="86"/>
      <c r="Q125" s="86"/>
      <c r="R125" s="86"/>
      <c r="S125" s="86"/>
      <c r="T125" s="86"/>
      <c r="U125" s="86"/>
      <c r="V125" s="86"/>
      <c r="W125" s="86"/>
      <c r="X125" s="86"/>
      <c r="Y125" s="86"/>
      <c r="Z125" s="86"/>
      <c r="AA125" s="86"/>
      <c r="AB125" s="86"/>
      <c r="AC125" s="86"/>
    </row>
    <row r="126" spans="1:122" s="52" customFormat="1" ht="15">
      <c r="B126" s="96" t="s">
        <v>99</v>
      </c>
      <c r="C126" s="94" t="s">
        <v>135</v>
      </c>
      <c r="D126" s="94"/>
      <c r="E126" s="93" t="s">
        <v>453</v>
      </c>
      <c r="F126" s="101" t="s">
        <v>13</v>
      </c>
      <c r="G126" s="101" t="s">
        <v>5</v>
      </c>
      <c r="H126" s="101"/>
      <c r="I126" s="105"/>
      <c r="J126" s="169" t="str">
        <f>IF(application=Spraying,'Pick-lists &amp; Defaults'!$C77,IF(application=Fogging,'Pick-lists &amp; Defaults'!$C103, IF(application=Foaming,'Pick-lists &amp; Defaults'!$C129,IF(application=Fumigation, 'Pick-lists &amp; Defaults'!$C155,"??"))))</f>
        <v>??</v>
      </c>
      <c r="K126" s="169" t="str">
        <f>IF(application=Spraying,'Pick-lists &amp; Defaults'!$C78,IF(application=Fogging,'Pick-lists &amp; Defaults'!$C104, IF(application=Foaming,'Pick-lists &amp; Defaults'!$C130,IF(application=Fumigation, 'Pick-lists &amp; Defaults'!$C156,"??"))))</f>
        <v>??</v>
      </c>
      <c r="L126" s="169" t="str">
        <f>IF(application=Spraying,'Pick-lists &amp; Defaults'!$C79,IF(application=Fogging,'Pick-lists &amp; Defaults'!$C105, IF(application=Foaming,'Pick-lists &amp; Defaults'!$C131,IF(application=Fumigation, 'Pick-lists &amp; Defaults'!$C157,"??"))))</f>
        <v>??</v>
      </c>
      <c r="M126" s="169" t="str">
        <f>IF(application=Spraying,'Pick-lists &amp; Defaults'!$C80,IF(application=Fogging,'Pick-lists &amp; Defaults'!$C106, IF(application=Foaming,'Pick-lists &amp; Defaults'!$C132,IF(application=Fumigation, 'Pick-lists &amp; Defaults'!$C158,"??"))))</f>
        <v>??</v>
      </c>
      <c r="N126" s="169" t="str">
        <f>IF(application=Spraying,'Pick-lists &amp; Defaults'!$C81,IF(application=Fogging,'Pick-lists &amp; Defaults'!$C107, IF(application=Foaming,'Pick-lists &amp; Defaults'!$C133,IF(application=Fumigation, 'Pick-lists &amp; Defaults'!$C159,"??"))))</f>
        <v>??</v>
      </c>
      <c r="O126" s="169" t="str">
        <f>IF(application=Spraying,'Pick-lists &amp; Defaults'!$C82,IF(application=Fogging,'Pick-lists &amp; Defaults'!$C108, IF(application=Foaming,'Pick-lists &amp; Defaults'!$C134,IF(application=Fumigation, 'Pick-lists &amp; Defaults'!$C160,"??"))))</f>
        <v>??</v>
      </c>
      <c r="P126" s="169" t="str">
        <f>IF(application=Spraying,'Pick-lists &amp; Defaults'!$C83,IF(application=Fogging,'Pick-lists &amp; Defaults'!$C109, IF(application=Foaming,'Pick-lists &amp; Defaults'!$C135,IF(application=Fumigation, 'Pick-lists &amp; Defaults'!$C161,"??"))))</f>
        <v>??</v>
      </c>
      <c r="Q126" s="169" t="str">
        <f>IF(application=Spraying,'Pick-lists &amp; Defaults'!$C84,IF(application=Fogging,'Pick-lists &amp; Defaults'!$C110, IF(application=Foaming,'Pick-lists &amp; Defaults'!$C136,IF(application=Fumigation, 'Pick-lists &amp; Defaults'!$C162,"??"))))</f>
        <v>??</v>
      </c>
      <c r="R126" s="169" t="str">
        <f>IF(application=Spraying,'Pick-lists &amp; Defaults'!$C85,IF(application=Fogging,'Pick-lists &amp; Defaults'!$C111, IF(application=Foaming,'Pick-lists &amp; Defaults'!$C137,IF(application=Fumigation, 'Pick-lists &amp; Defaults'!$C163,"??"))))</f>
        <v>??</v>
      </c>
      <c r="S126" s="169" t="str">
        <f>IF(application=Spraying,'Pick-lists &amp; Defaults'!$C86,IF(application=Fogging,'Pick-lists &amp; Defaults'!$C112, IF(application=Foaming,'Pick-lists &amp; Defaults'!$C138,IF(application=Fumigation, 'Pick-lists &amp; Defaults'!$C164,"??"))))</f>
        <v>??</v>
      </c>
      <c r="T126" s="169" t="str">
        <f>IF(application=Spraying,'Pick-lists &amp; Defaults'!$C87,IF(application=Fogging,'Pick-lists &amp; Defaults'!$C113, IF(application=Foaming,'Pick-lists &amp; Defaults'!$C139,IF(application=Fumigation, 'Pick-lists &amp; Defaults'!$C165,"??"))))</f>
        <v>??</v>
      </c>
      <c r="U126" s="169" t="str">
        <f>IF(application=Spraying,'Pick-lists &amp; Defaults'!$C88,IF(application=Fogging,'Pick-lists &amp; Defaults'!$C114, IF(application=Foaming,'Pick-lists &amp; Defaults'!$C140,IF(application=Fumigation, 'Pick-lists &amp; Defaults'!$C166,"??"))))</f>
        <v>??</v>
      </c>
      <c r="V126" s="169" t="str">
        <f>IF(application=Spraying,'Pick-lists &amp; Defaults'!$C89,IF(application=Fogging,'Pick-lists &amp; Defaults'!$C115, IF(application=Foaming,'Pick-lists &amp; Defaults'!$C141,IF(application=Fumigation, 'Pick-lists &amp; Defaults'!$C167,"??"))))</f>
        <v>??</v>
      </c>
      <c r="W126" s="169" t="str">
        <f>IF(application=Spraying,'Pick-lists &amp; Defaults'!$C90,IF(application=Fogging,'Pick-lists &amp; Defaults'!$C116, IF(application=Foaming,'Pick-lists &amp; Defaults'!$C142,IF(application=Fumigation, 'Pick-lists &amp; Defaults'!$C168,"??"))))</f>
        <v>??</v>
      </c>
      <c r="X126" s="169" t="str">
        <f>IF(application=Spraying,'Pick-lists &amp; Defaults'!$C91,IF(application=Fogging,'Pick-lists &amp; Defaults'!$C117, IF(application=Foaming,'Pick-lists &amp; Defaults'!$C143,IF(application=Fumigation, 'Pick-lists &amp; Defaults'!$C169,"??"))))</f>
        <v>??</v>
      </c>
      <c r="Y126" s="169" t="str">
        <f>IF(application=Spraying,'Pick-lists &amp; Defaults'!$C92,IF(application=Fogging,'Pick-lists &amp; Defaults'!$C118, IF(application=Foaming,'Pick-lists &amp; Defaults'!$C144,IF(application=Fumigation, 'Pick-lists &amp; Defaults'!$C170,"??"))))</f>
        <v>??</v>
      </c>
      <c r="Z126" s="169" t="str">
        <f>IF(application=Spraying,'Pick-lists &amp; Defaults'!$C93,IF(application=Fogging,'Pick-lists &amp; Defaults'!$C119, IF(application=Foaming,'Pick-lists &amp; Defaults'!$C145,IF(application=Fumigation, 'Pick-lists &amp; Defaults'!$C171,"??"))))</f>
        <v>??</v>
      </c>
      <c r="AA126" s="169" t="str">
        <f>IF(application=Spraying,'Pick-lists &amp; Defaults'!$C94,IF(application=Fogging,'Pick-lists &amp; Defaults'!$C120, IF(application=Foaming,'Pick-lists &amp; Defaults'!$C146,IF(application=Fumigation, 'Pick-lists &amp; Defaults'!$C172,"??"))))</f>
        <v>??</v>
      </c>
      <c r="AB126" s="169" t="str">
        <f>IF(application=Spraying,'Pick-lists &amp; Defaults'!$C95,IF(application=Fogging,'Pick-lists &amp; Defaults'!$C121, IF(application=Foaming,'Pick-lists &amp; Defaults'!$C147,IF(application=Fumigation, 'Pick-lists &amp; Defaults'!$C173,"??"))))</f>
        <v>??</v>
      </c>
      <c r="AC126" s="169" t="str">
        <f>IF(application=Spraying,'Pick-lists &amp; Defaults'!$C96,IF(application=Fogging,'Pick-lists &amp; Defaults'!$C122, IF(application=Foaming,'Pick-lists &amp; Defaults'!$C148,IF(application=Fumigation, 'Pick-lists &amp; Defaults'!$C174,"??"))))</f>
        <v>??</v>
      </c>
    </row>
    <row r="127" spans="1:122" s="52" customFormat="1" ht="15">
      <c r="B127" s="84"/>
      <c r="C127" s="110" t="s">
        <v>136</v>
      </c>
      <c r="D127" s="110"/>
      <c r="E127" s="93" t="s">
        <v>453</v>
      </c>
      <c r="F127" s="98" t="s">
        <v>13</v>
      </c>
      <c r="G127" s="101" t="s">
        <v>5</v>
      </c>
      <c r="H127" s="101"/>
      <c r="I127" s="97"/>
      <c r="J127" s="169" t="str">
        <f>IF(application=Spraying,'Pick-lists &amp; Defaults'!$D77,IF(application=Fogging,'Pick-lists &amp; Defaults'!$D103, IF(application=Foaming,'Pick-lists &amp; Defaults'!$D129,IF(application=Fumigation, 'Pick-lists &amp; Defaults'!$D155,"??"))))</f>
        <v>??</v>
      </c>
      <c r="K127" s="169" t="str">
        <f>IF(application=Spraying,'Pick-lists &amp; Defaults'!$D78,IF(application=Fogging,'Pick-lists &amp; Defaults'!$D104, IF(application=Foaming,'Pick-lists &amp; Defaults'!$D130,IF(application=Fumigation, 'Pick-lists &amp; Defaults'!$D156,"??"))))</f>
        <v>??</v>
      </c>
      <c r="L127" s="169" t="str">
        <f>IF(application=Spraying,'Pick-lists &amp; Defaults'!$D79,IF(application=Fogging,'Pick-lists &amp; Defaults'!$D105, IF(application=Foaming,'Pick-lists &amp; Defaults'!$D131,IF(application=Fumigation, 'Pick-lists &amp; Defaults'!$D157,"??"))))</f>
        <v>??</v>
      </c>
      <c r="M127" s="169" t="str">
        <f>IF(application=Spraying,'Pick-lists &amp; Defaults'!$D80,IF(application=Fogging,'Pick-lists &amp; Defaults'!$D106, IF(application=Foaming,'Pick-lists &amp; Defaults'!$D132,IF(application=Fumigation, 'Pick-lists &amp; Defaults'!$D158,"??"))))</f>
        <v>??</v>
      </c>
      <c r="N127" s="169" t="str">
        <f>IF(application=Spraying,'Pick-lists &amp; Defaults'!$D81,IF(application=Fogging,'Pick-lists &amp; Defaults'!$D107, IF(application=Foaming,'Pick-lists &amp; Defaults'!$D133,IF(application=Fumigation, 'Pick-lists &amp; Defaults'!$D159,"??"))))</f>
        <v>??</v>
      </c>
      <c r="O127" s="169" t="str">
        <f>IF(application=Spraying,'Pick-lists &amp; Defaults'!$D82,IF(application=Fogging,'Pick-lists &amp; Defaults'!$D108, IF(application=Foaming,'Pick-lists &amp; Defaults'!$D134,IF(application=Fumigation, 'Pick-lists &amp; Defaults'!$D160,"??"))))</f>
        <v>??</v>
      </c>
      <c r="P127" s="169" t="str">
        <f>IF(application=Spraying,'Pick-lists &amp; Defaults'!$D83,IF(application=Fogging,'Pick-lists &amp; Defaults'!$D109, IF(application=Foaming,'Pick-lists &amp; Defaults'!$D135,IF(application=Fumigation, 'Pick-lists &amp; Defaults'!$D161,"??"))))</f>
        <v>??</v>
      </c>
      <c r="Q127" s="169" t="str">
        <f>IF(application=Spraying,'Pick-lists &amp; Defaults'!$D84,IF(application=Fogging,'Pick-lists &amp; Defaults'!$D110, IF(application=Foaming,'Pick-lists &amp; Defaults'!$D136,IF(application=Fumigation, 'Pick-lists &amp; Defaults'!$D162,"??"))))</f>
        <v>??</v>
      </c>
      <c r="R127" s="169" t="str">
        <f>IF(application=Spraying,'Pick-lists &amp; Defaults'!$D85,IF(application=Fogging,'Pick-lists &amp; Defaults'!$D111, IF(application=Foaming,'Pick-lists &amp; Defaults'!$D137,IF(application=Fumigation, 'Pick-lists &amp; Defaults'!$D163,"??"))))</f>
        <v>??</v>
      </c>
      <c r="S127" s="169" t="str">
        <f>IF(application=Spraying,'Pick-lists &amp; Defaults'!$D86,IF(application=Fogging,'Pick-lists &amp; Defaults'!$D112, IF(application=Foaming,'Pick-lists &amp; Defaults'!$D138,IF(application=Fumigation, 'Pick-lists &amp; Defaults'!$D164,"??"))))</f>
        <v>??</v>
      </c>
      <c r="T127" s="169" t="str">
        <f>IF(application=Spraying,'Pick-lists &amp; Defaults'!$D87,IF(application=Fogging,'Pick-lists &amp; Defaults'!$D113, IF(application=Foaming,'Pick-lists &amp; Defaults'!$D139,IF(application=Fumigation, 'Pick-lists &amp; Defaults'!$D165,"??"))))</f>
        <v>??</v>
      </c>
      <c r="U127" s="169" t="str">
        <f>IF(application=Spraying,'Pick-lists &amp; Defaults'!$D88,IF(application=Fogging,'Pick-lists &amp; Defaults'!$D114, IF(application=Foaming,'Pick-lists &amp; Defaults'!$D140,IF(application=Fumigation, 'Pick-lists &amp; Defaults'!$D166,"??"))))</f>
        <v>??</v>
      </c>
      <c r="V127" s="169" t="str">
        <f>IF(application=Spraying,'Pick-lists &amp; Defaults'!$D89,IF(application=Fogging,'Pick-lists &amp; Defaults'!$D115, IF(application=Foaming,'Pick-lists &amp; Defaults'!$D141,IF(application=Fumigation, 'Pick-lists &amp; Defaults'!$D167,"??"))))</f>
        <v>??</v>
      </c>
      <c r="W127" s="169" t="str">
        <f>IF(application=Spraying,'Pick-lists &amp; Defaults'!$D90,IF(application=Fogging,'Pick-lists &amp; Defaults'!$D116, IF(application=Foaming,'Pick-lists &amp; Defaults'!$D142,IF(application=Fumigation, 'Pick-lists &amp; Defaults'!$D168,"??"))))</f>
        <v>??</v>
      </c>
      <c r="X127" s="169" t="str">
        <f>IF(application=Spraying,'Pick-lists &amp; Defaults'!$D91,IF(application=Fogging,'Pick-lists &amp; Defaults'!$D117, IF(application=Foaming,'Pick-lists &amp; Defaults'!$D143,IF(application=Fumigation, 'Pick-lists &amp; Defaults'!$D169,"??"))))</f>
        <v>??</v>
      </c>
      <c r="Y127" s="169" t="str">
        <f>IF(application=Spraying,'Pick-lists &amp; Defaults'!$D92,IF(application=Fogging,'Pick-lists &amp; Defaults'!$D118, IF(application=Foaming,'Pick-lists &amp; Defaults'!$D144,IF(application=Fumigation, 'Pick-lists &amp; Defaults'!$D170,"??"))))</f>
        <v>??</v>
      </c>
      <c r="Z127" s="169" t="str">
        <f>IF(application=Spraying,'Pick-lists &amp; Defaults'!$D93,IF(application=Fogging,'Pick-lists &amp; Defaults'!$D119, IF(application=Foaming,'Pick-lists &amp; Defaults'!$D145,IF(application=Fumigation, 'Pick-lists &amp; Defaults'!$D171,"??"))))</f>
        <v>??</v>
      </c>
      <c r="AA127" s="169" t="str">
        <f>IF(application=Spraying,'Pick-lists &amp; Defaults'!$D94,IF(application=Fogging,'Pick-lists &amp; Defaults'!$D120, IF(application=Foaming,'Pick-lists &amp; Defaults'!$D146,IF(application=Fumigation, 'Pick-lists &amp; Defaults'!$D172,"??"))))</f>
        <v>??</v>
      </c>
      <c r="AB127" s="169" t="str">
        <f>IF(application=Spraying,'Pick-lists &amp; Defaults'!$D95,IF(application=Fogging,'Pick-lists &amp; Defaults'!$D121, IF(application=Foaming,'Pick-lists &amp; Defaults'!$D147,IF(application=Fumigation, 'Pick-lists &amp; Defaults'!$D173,"??"))))</f>
        <v>??</v>
      </c>
      <c r="AC127" s="169" t="str">
        <f>IF(application=Spraying,'Pick-lists &amp; Defaults'!$D96,IF(application=Fogging,'Pick-lists &amp; Defaults'!$D122, IF(application=Foaming,'Pick-lists &amp; Defaults'!$D148,IF(application=Fumigation, 'Pick-lists &amp; Defaults'!$D174,"??"))))</f>
        <v>??</v>
      </c>
    </row>
    <row r="128" spans="1:122" ht="15">
      <c r="B128" s="84"/>
      <c r="C128" s="84" t="s">
        <v>137</v>
      </c>
      <c r="D128" s="84"/>
      <c r="E128" s="93" t="s">
        <v>453</v>
      </c>
      <c r="F128" s="92" t="s">
        <v>13</v>
      </c>
      <c r="G128" s="101" t="s">
        <v>5</v>
      </c>
      <c r="H128" s="101"/>
      <c r="I128" s="84"/>
      <c r="J128" s="169" t="str">
        <f>IF(application=Spraying,'Pick-lists &amp; Defaults'!$E77,IF(application=Fogging,'Pick-lists &amp; Defaults'!$E103, IF(application=Foaming,'Pick-lists &amp; Defaults'!$E129,IF(application=Fumigation, 'Pick-lists &amp; Defaults'!$E155,"??"))))</f>
        <v>??</v>
      </c>
      <c r="K128" s="169" t="str">
        <f>IF(application=Spraying,'Pick-lists &amp; Defaults'!$E78,IF(application=Fogging,'Pick-lists &amp; Defaults'!$E104, IF(application=Foaming,'Pick-lists &amp; Defaults'!$E130,IF(application=Fumigation, 'Pick-lists &amp; Defaults'!$E156,"??"))))</f>
        <v>??</v>
      </c>
      <c r="L128" s="169" t="str">
        <f>IF(application=Spraying,'Pick-lists &amp; Defaults'!$E79,IF(application=Fogging,'Pick-lists &amp; Defaults'!$E105, IF(application=Foaming,'Pick-lists &amp; Defaults'!$E131,IF(application=Fumigation, 'Pick-lists &amp; Defaults'!$E157,"??"))))</f>
        <v>??</v>
      </c>
      <c r="M128" s="169" t="str">
        <f>IF(application=Spraying,'Pick-lists &amp; Defaults'!$E80,IF(application=Fogging,'Pick-lists &amp; Defaults'!$E106, IF(application=Foaming,'Pick-lists &amp; Defaults'!$E132,IF(application=Fumigation, 'Pick-lists &amp; Defaults'!$E158,"??"))))</f>
        <v>??</v>
      </c>
      <c r="N128" s="169" t="str">
        <f>IF(application=Spraying,'Pick-lists &amp; Defaults'!$E81,IF(application=Fogging,'Pick-lists &amp; Defaults'!$E107, IF(application=Foaming,'Pick-lists &amp; Defaults'!$E133,IF(application=Fumigation, 'Pick-lists &amp; Defaults'!$E159,"??"))))</f>
        <v>??</v>
      </c>
      <c r="O128" s="169" t="str">
        <f>IF(application=Spraying,'Pick-lists &amp; Defaults'!$E82,IF(application=Fogging,'Pick-lists &amp; Defaults'!$E108, IF(application=Foaming,'Pick-lists &amp; Defaults'!$E134,IF(application=Fumigation, 'Pick-lists &amp; Defaults'!$E160,"??"))))</f>
        <v>??</v>
      </c>
      <c r="P128" s="169" t="str">
        <f>IF(application=Spraying,'Pick-lists &amp; Defaults'!$E83,IF(application=Fogging,'Pick-lists &amp; Defaults'!$E109, IF(application=Foaming,'Pick-lists &amp; Defaults'!$E135,IF(application=Fumigation, 'Pick-lists &amp; Defaults'!$E161,"??"))))</f>
        <v>??</v>
      </c>
      <c r="Q128" s="169" t="str">
        <f>IF(application=Spraying,'Pick-lists &amp; Defaults'!$E84,IF(application=Fogging,'Pick-lists &amp; Defaults'!$E110, IF(application=Foaming,'Pick-lists &amp; Defaults'!$E136,IF(application=Fumigation, 'Pick-lists &amp; Defaults'!$E162,"??"))))</f>
        <v>??</v>
      </c>
      <c r="R128" s="169" t="str">
        <f>IF(application=Spraying,'Pick-lists &amp; Defaults'!$E85,IF(application=Fogging,'Pick-lists &amp; Defaults'!$E111, IF(application=Foaming,'Pick-lists &amp; Defaults'!$E137,IF(application=Fumigation, 'Pick-lists &amp; Defaults'!$E163,"??"))))</f>
        <v>??</v>
      </c>
      <c r="S128" s="169" t="str">
        <f>IF(application=Spraying,'Pick-lists &amp; Defaults'!$E86,IF(application=Fogging,'Pick-lists &amp; Defaults'!$E112, IF(application=Foaming,'Pick-lists &amp; Defaults'!$E138,IF(application=Fumigation, 'Pick-lists &amp; Defaults'!$E164,"??"))))</f>
        <v>??</v>
      </c>
      <c r="T128" s="169" t="str">
        <f>IF(application=Spraying,'Pick-lists &amp; Defaults'!$E87,IF(application=Fogging,'Pick-lists &amp; Defaults'!$E113, IF(application=Foaming,'Pick-lists &amp; Defaults'!$E139,IF(application=Fumigation, 'Pick-lists &amp; Defaults'!$E165,"??"))))</f>
        <v>??</v>
      </c>
      <c r="U128" s="169" t="str">
        <f>IF(application=Spraying,'Pick-lists &amp; Defaults'!$E88,IF(application=Fogging,'Pick-lists &amp; Defaults'!$E114, IF(application=Foaming,'Pick-lists &amp; Defaults'!$E140,IF(application=Fumigation, 'Pick-lists &amp; Defaults'!$E166,"??"))))</f>
        <v>??</v>
      </c>
      <c r="V128" s="169" t="str">
        <f>IF(application=Spraying,'Pick-lists &amp; Defaults'!$E89,IF(application=Fogging,'Pick-lists &amp; Defaults'!$E115, IF(application=Foaming,'Pick-lists &amp; Defaults'!$E141,IF(application=Fumigation, 'Pick-lists &amp; Defaults'!$E167,"??"))))</f>
        <v>??</v>
      </c>
      <c r="W128" s="169" t="str">
        <f>IF(application=Spraying,'Pick-lists &amp; Defaults'!$E90,IF(application=Fogging,'Pick-lists &amp; Defaults'!$E116, IF(application=Foaming,'Pick-lists &amp; Defaults'!$E142,IF(application=Fumigation, 'Pick-lists &amp; Defaults'!$E168,"??"))))</f>
        <v>??</v>
      </c>
      <c r="X128" s="169" t="str">
        <f>IF(application=Spraying,'Pick-lists &amp; Defaults'!$E91,IF(application=Fogging,'Pick-lists &amp; Defaults'!$E117, IF(application=Foaming,'Pick-lists &amp; Defaults'!$E143,IF(application=Fumigation, 'Pick-lists &amp; Defaults'!$E169,"??"))))</f>
        <v>??</v>
      </c>
      <c r="Y128" s="169" t="str">
        <f>IF(application=Spraying,'Pick-lists &amp; Defaults'!$E92,IF(application=Fogging,'Pick-lists &amp; Defaults'!$E118, IF(application=Foaming,'Pick-lists &amp; Defaults'!$E144,IF(application=Fumigation, 'Pick-lists &amp; Defaults'!$E170,"??"))))</f>
        <v>??</v>
      </c>
      <c r="Z128" s="169" t="str">
        <f>IF(application=Spraying,'Pick-lists &amp; Defaults'!$E93,IF(application=Fogging,'Pick-lists &amp; Defaults'!$E119, IF(application=Foaming,'Pick-lists &amp; Defaults'!$E145,IF(application=Fumigation, 'Pick-lists &amp; Defaults'!$E171,"??"))))</f>
        <v>??</v>
      </c>
      <c r="AA128" s="169" t="str">
        <f>IF(application=Spraying,'Pick-lists &amp; Defaults'!$E94,IF(application=Fogging,'Pick-lists &amp; Defaults'!$E120, IF(application=Foaming,'Pick-lists &amp; Defaults'!$E146,IF(application=Fumigation, 'Pick-lists &amp; Defaults'!$E172,"??"))))</f>
        <v>??</v>
      </c>
      <c r="AB128" s="169" t="str">
        <f>IF(application=Spraying,'Pick-lists &amp; Defaults'!$E95,IF(application=Fogging,'Pick-lists &amp; Defaults'!$E121, IF(application=Foaming,'Pick-lists &amp; Defaults'!$E147,IF(application=Fumigation, 'Pick-lists &amp; Defaults'!$E173,"??"))))</f>
        <v>??</v>
      </c>
      <c r="AC128" s="169" t="str">
        <f>IF(application=Spraying,'Pick-lists &amp; Defaults'!$E96,IF(application=Fogging,'Pick-lists &amp; Defaults'!$E122, IF(application=Foaming,'Pick-lists &amp; Defaults'!$E148,IF(application=Fumigation, 'Pick-lists &amp; Defaults'!$E174,"??"))))</f>
        <v>??</v>
      </c>
    </row>
    <row r="129" spans="1:122" s="52" customFormat="1" ht="15">
      <c r="B129" s="84"/>
      <c r="C129" s="110" t="s">
        <v>292</v>
      </c>
      <c r="D129" s="110"/>
      <c r="E129" s="93" t="s">
        <v>453</v>
      </c>
      <c r="F129" s="98" t="s">
        <v>13</v>
      </c>
      <c r="G129" s="101" t="s">
        <v>5</v>
      </c>
      <c r="H129" s="101"/>
      <c r="I129" s="97"/>
      <c r="J129" s="169" t="str">
        <f>IF(application=Spraying,'Pick-lists &amp; Defaults'!$F77,IF(application=Fogging,'Pick-lists &amp; Defaults'!$F103, IF(application=Foaming,'Pick-lists &amp; Defaults'!$F129,IF(application=Fumigation, 'Pick-lists &amp; Defaults'!$F155,"??"))))</f>
        <v>??</v>
      </c>
      <c r="K129" s="169" t="str">
        <f>IF(application=Spraying,'Pick-lists &amp; Defaults'!$F78,IF(application=Fogging,'Pick-lists &amp; Defaults'!$F104, IF(application=Foaming,'Pick-lists &amp; Defaults'!$F130,IF(application=Fumigation, 'Pick-lists &amp; Defaults'!$F156,"??"))))</f>
        <v>??</v>
      </c>
      <c r="L129" s="169" t="str">
        <f>IF(application=Spraying,'Pick-lists &amp; Defaults'!$F79,IF(application=Fogging,'Pick-lists &amp; Defaults'!$F105, IF(application=Foaming,'Pick-lists &amp; Defaults'!$F131,IF(application=Fumigation, 'Pick-lists &amp; Defaults'!$F157,"??"))))</f>
        <v>??</v>
      </c>
      <c r="M129" s="169" t="str">
        <f>IF(application=Spraying,'Pick-lists &amp; Defaults'!$F80,IF(application=Fogging,'Pick-lists &amp; Defaults'!$F106, IF(application=Foaming,'Pick-lists &amp; Defaults'!$F132,IF(application=Fumigation, 'Pick-lists &amp; Defaults'!$F158,"??"))))</f>
        <v>??</v>
      </c>
      <c r="N129" s="169" t="str">
        <f>IF(application=Spraying,'Pick-lists &amp; Defaults'!$F81,IF(application=Fogging,'Pick-lists &amp; Defaults'!$F107, IF(application=Foaming,'Pick-lists &amp; Defaults'!$F133,IF(application=Fumigation, 'Pick-lists &amp; Defaults'!$F159,"??"))))</f>
        <v>??</v>
      </c>
      <c r="O129" s="169" t="str">
        <f>IF(application=Spraying,'Pick-lists &amp; Defaults'!$F82,IF(application=Fogging,'Pick-lists &amp; Defaults'!$F108, IF(application=Foaming,'Pick-lists &amp; Defaults'!$F134,IF(application=Fumigation, 'Pick-lists &amp; Defaults'!$F160,"??"))))</f>
        <v>??</v>
      </c>
      <c r="P129" s="169" t="str">
        <f>IF(application=Spraying,'Pick-lists &amp; Defaults'!$F83,IF(application=Fogging,'Pick-lists &amp; Defaults'!$F109, IF(application=Foaming,'Pick-lists &amp; Defaults'!$F135,IF(application=Fumigation, 'Pick-lists &amp; Defaults'!$F161,"??"))))</f>
        <v>??</v>
      </c>
      <c r="Q129" s="169" t="str">
        <f>IF(application=Spraying,'Pick-lists &amp; Defaults'!$F84,IF(application=Fogging,'Pick-lists &amp; Defaults'!$F110, IF(application=Foaming,'Pick-lists &amp; Defaults'!$F136,IF(application=Fumigation, 'Pick-lists &amp; Defaults'!$F162,"??"))))</f>
        <v>??</v>
      </c>
      <c r="R129" s="169" t="str">
        <f>IF(application=Spraying,'Pick-lists &amp; Defaults'!$F85,IF(application=Fogging,'Pick-lists &amp; Defaults'!$F111, IF(application=Foaming,'Pick-lists &amp; Defaults'!$F137,IF(application=Fumigation, 'Pick-lists &amp; Defaults'!$F163,"??"))))</f>
        <v>??</v>
      </c>
      <c r="S129" s="169" t="str">
        <f>IF(application=Spraying,'Pick-lists &amp; Defaults'!$F86,IF(application=Fogging,'Pick-lists &amp; Defaults'!$F112, IF(application=Foaming,'Pick-lists &amp; Defaults'!$F138,IF(application=Fumigation, 'Pick-lists &amp; Defaults'!$F164,"??"))))</f>
        <v>??</v>
      </c>
      <c r="T129" s="169" t="str">
        <f>IF(application=Spraying,'Pick-lists &amp; Defaults'!$F87,IF(application=Fogging,'Pick-lists &amp; Defaults'!$F113, IF(application=Foaming,'Pick-lists &amp; Defaults'!$F139,IF(application=Fumigation, 'Pick-lists &amp; Defaults'!$F165,"??"))))</f>
        <v>??</v>
      </c>
      <c r="U129" s="169" t="str">
        <f>IF(application=Spraying,'Pick-lists &amp; Defaults'!$F88,IF(application=Fogging,'Pick-lists &amp; Defaults'!$F114, IF(application=Foaming,'Pick-lists &amp; Defaults'!$F140,IF(application=Fumigation, 'Pick-lists &amp; Defaults'!$F166,"??"))))</f>
        <v>??</v>
      </c>
      <c r="V129" s="169" t="str">
        <f>IF(application=Spraying,'Pick-lists &amp; Defaults'!$F89,IF(application=Fogging,'Pick-lists &amp; Defaults'!$F115, IF(application=Foaming,'Pick-lists &amp; Defaults'!$F141,IF(application=Fumigation, 'Pick-lists &amp; Defaults'!$F167,"??"))))</f>
        <v>??</v>
      </c>
      <c r="W129" s="169" t="str">
        <f>IF(application=Spraying,'Pick-lists &amp; Defaults'!$F90,IF(application=Fogging,'Pick-lists &amp; Defaults'!$F116, IF(application=Foaming,'Pick-lists &amp; Defaults'!$F142,IF(application=Fumigation, 'Pick-lists &amp; Defaults'!$F168,"??"))))</f>
        <v>??</v>
      </c>
      <c r="X129" s="169" t="str">
        <f>IF(application=Spraying,'Pick-lists &amp; Defaults'!$F91,IF(application=Fogging,'Pick-lists &amp; Defaults'!$F117, IF(application=Foaming,'Pick-lists &amp; Defaults'!$F143,IF(application=Fumigation, 'Pick-lists &amp; Defaults'!$F169,"??"))))</f>
        <v>??</v>
      </c>
      <c r="Y129" s="169" t="str">
        <f>IF(application=Spraying,'Pick-lists &amp; Defaults'!$F92,IF(application=Fogging,'Pick-lists &amp; Defaults'!$F118, IF(application=Foaming,'Pick-lists &amp; Defaults'!$F144,IF(application=Fumigation, 'Pick-lists &amp; Defaults'!$F170,"??"))))</f>
        <v>??</v>
      </c>
      <c r="Z129" s="169" t="str">
        <f>IF(application=Spraying,'Pick-lists &amp; Defaults'!$F93,IF(application=Fogging,'Pick-lists &amp; Defaults'!$F119, IF(application=Foaming,'Pick-lists &amp; Defaults'!$F145,IF(application=Fumigation, 'Pick-lists &amp; Defaults'!$F171,"??"))))</f>
        <v>??</v>
      </c>
      <c r="AA129" s="169" t="str">
        <f>IF(application=Spraying,'Pick-lists &amp; Defaults'!$F94,IF(application=Fogging,'Pick-lists &amp; Defaults'!$F120, IF(application=Foaming,'Pick-lists &amp; Defaults'!$F146,IF(application=Fumigation, 'Pick-lists &amp; Defaults'!$F172,"??"))))</f>
        <v>??</v>
      </c>
      <c r="AB129" s="169" t="str">
        <f>IF(application=Spraying,'Pick-lists &amp; Defaults'!$F95,IF(application=Fogging,'Pick-lists &amp; Defaults'!$F121, IF(application=Foaming,'Pick-lists &amp; Defaults'!$F147,IF(application=Fumigation, 'Pick-lists &amp; Defaults'!$F173,"??"))))</f>
        <v>??</v>
      </c>
      <c r="AC129" s="169" t="str">
        <f>IF(application=Spraying,'Pick-lists &amp; Defaults'!$F96,IF(application=Fogging,'Pick-lists &amp; Defaults'!$F122, IF(application=Foaming,'Pick-lists &amp; Defaults'!$F148,IF(application=Fumigation, 'Pick-lists &amp; Defaults'!$F174,"??"))))</f>
        <v>??</v>
      </c>
    </row>
    <row r="130" spans="1:122" s="52" customFormat="1">
      <c r="B130" s="84"/>
      <c r="C130" s="110"/>
      <c r="D130" s="110"/>
      <c r="E130" s="83"/>
      <c r="F130" s="98"/>
      <c r="G130" s="97"/>
      <c r="H130" s="97"/>
      <c r="I130" s="97"/>
      <c r="J130" s="173"/>
      <c r="K130" s="173"/>
      <c r="L130" s="173"/>
      <c r="M130" s="173"/>
      <c r="N130" s="173"/>
      <c r="O130" s="173"/>
      <c r="P130" s="173"/>
      <c r="Q130" s="173"/>
      <c r="R130" s="173"/>
      <c r="S130" s="173"/>
      <c r="T130" s="173"/>
      <c r="U130" s="173"/>
      <c r="V130" s="173"/>
      <c r="W130" s="173"/>
      <c r="X130" s="173"/>
      <c r="Y130" s="173"/>
      <c r="Z130" s="173"/>
      <c r="AA130" s="173"/>
      <c r="AB130" s="173"/>
      <c r="AC130" s="173"/>
    </row>
    <row r="131" spans="1:122" s="52" customFormat="1" ht="14.4">
      <c r="B131" s="111" t="s">
        <v>100</v>
      </c>
      <c r="C131" s="90" t="s">
        <v>97</v>
      </c>
      <c r="D131" s="90"/>
      <c r="E131" s="94" t="s">
        <v>524</v>
      </c>
      <c r="F131" s="98" t="s">
        <v>13</v>
      </c>
      <c r="G131" s="98" t="s">
        <v>98</v>
      </c>
      <c r="H131" s="98"/>
      <c r="I131" s="98"/>
      <c r="J131" s="169">
        <f>'Pick-lists &amp; Defaults'!L16</f>
        <v>0.33889999999999998</v>
      </c>
      <c r="K131" s="169">
        <f>'Pick-lists &amp; Defaults'!L17</f>
        <v>0.14316000000000001</v>
      </c>
      <c r="L131" s="169">
        <f>'Pick-lists &amp; Defaults'!L18</f>
        <v>0.28819</v>
      </c>
      <c r="M131" s="169">
        <f>'Pick-lists &amp; Defaults'!L19</f>
        <v>0.12862999999999999</v>
      </c>
      <c r="N131" s="169">
        <f>'Pick-lists &amp; Defaults'!L20</f>
        <v>2.3820000000000001E-2</v>
      </c>
      <c r="O131" s="169">
        <f>'Pick-lists &amp; Defaults'!L21</f>
        <v>7.1059999999999998E-2</v>
      </c>
      <c r="P131" s="169">
        <f>'Pick-lists &amp; Defaults'!L22</f>
        <v>7.1059999999999998E-2</v>
      </c>
      <c r="Q131" s="169">
        <f>'Pick-lists &amp; Defaults'!L23</f>
        <v>3.0429999999999999E-2</v>
      </c>
      <c r="R131" s="169">
        <f>'Pick-lists &amp; Defaults'!L24</f>
        <v>2.0200000000000001E-3</v>
      </c>
      <c r="S131" s="169">
        <f>'Pick-lists &amp; Defaults'!L25</f>
        <v>1.81E-3</v>
      </c>
      <c r="T131" s="169">
        <f>'Pick-lists &amp; Defaults'!L26</f>
        <v>1.81E-3</v>
      </c>
      <c r="U131" s="169">
        <f>'Pick-lists &amp; Defaults'!L27</f>
        <v>1.81E-3</v>
      </c>
      <c r="V131" s="169">
        <f>'Pick-lists &amp; Defaults'!L28</f>
        <v>1.7099999999999999E-3</v>
      </c>
      <c r="W131" s="169">
        <f>'Pick-lists &amp; Defaults'!L29</f>
        <v>1.56E-3</v>
      </c>
      <c r="X131" s="169">
        <f>'Pick-lists &amp; Defaults'!L30</f>
        <v>1.7099999999999999E-3</v>
      </c>
      <c r="Y131" s="169">
        <f>'Pick-lists &amp; Defaults'!L31</f>
        <v>2.98E-3</v>
      </c>
      <c r="Z131" s="169">
        <f>'Pick-lists &amp; Defaults'!L32</f>
        <v>1.3699999999999999E-3</v>
      </c>
      <c r="AA131" s="169">
        <f>'Pick-lists &amp; Defaults'!L33</f>
        <v>4.8199999999999996E-3</v>
      </c>
      <c r="AB131" s="169">
        <f>'Pick-lists &amp; Defaults'!L34</f>
        <v>2.7399999999999998E-3</v>
      </c>
      <c r="AC131" s="169">
        <f>'Pick-lists &amp; Defaults'!L35</f>
        <v>4.8199999999999996E-3</v>
      </c>
    </row>
    <row r="132" spans="1:122" s="52" customFormat="1" ht="5.0999999999999996" customHeight="1">
      <c r="B132" s="111"/>
      <c r="C132" s="90"/>
      <c r="D132" s="90"/>
      <c r="E132" s="86"/>
      <c r="F132" s="97"/>
      <c r="G132" s="98"/>
      <c r="H132" s="98"/>
      <c r="I132" s="98"/>
      <c r="J132" s="188"/>
      <c r="K132" s="319"/>
      <c r="L132" s="319"/>
      <c r="M132" s="319"/>
      <c r="N132" s="188"/>
      <c r="O132" s="188"/>
      <c r="P132" s="188"/>
      <c r="Q132" s="188"/>
      <c r="R132" s="188"/>
      <c r="S132" s="188"/>
      <c r="T132" s="188"/>
      <c r="U132" s="188"/>
      <c r="V132" s="188"/>
      <c r="W132" s="188"/>
      <c r="X132" s="188"/>
      <c r="Y132" s="188"/>
      <c r="Z132" s="188"/>
      <c r="AA132" s="188"/>
      <c r="AB132" s="188"/>
      <c r="AC132" s="188"/>
    </row>
    <row r="133" spans="1:122" s="52" customFormat="1" ht="14.4">
      <c r="B133" s="96" t="s">
        <v>96</v>
      </c>
      <c r="C133" s="110" t="s">
        <v>45</v>
      </c>
      <c r="D133" s="110"/>
      <c r="E133" s="94" t="s">
        <v>190</v>
      </c>
      <c r="F133" s="98" t="s">
        <v>13</v>
      </c>
      <c r="G133" s="101" t="s">
        <v>5</v>
      </c>
      <c r="H133" s="101"/>
      <c r="I133" s="97"/>
      <c r="J133" s="169">
        <f>'Pick-lists &amp; Defaults'!C16</f>
        <v>100</v>
      </c>
      <c r="K133" s="169">
        <f>'Pick-lists &amp; Defaults'!C17</f>
        <v>100</v>
      </c>
      <c r="L133" s="169">
        <f>'Pick-lists &amp; Defaults'!C18</f>
        <v>125</v>
      </c>
      <c r="M133" s="169">
        <f>'Pick-lists &amp; Defaults'!C19</f>
        <v>125</v>
      </c>
      <c r="N133" s="169">
        <f>'Pick-lists &amp; Defaults'!C20</f>
        <v>80</v>
      </c>
      <c r="O133" s="169">
        <f>'Pick-lists &amp; Defaults'!C21</f>
        <v>132</v>
      </c>
      <c r="P133" s="169">
        <f>'Pick-lists &amp; Defaults'!C22</f>
        <v>132</v>
      </c>
      <c r="Q133" s="169">
        <f>'Pick-lists &amp; Defaults'!C23</f>
        <v>400</v>
      </c>
      <c r="R133" s="169">
        <f>'Pick-lists &amp; Defaults'!C24</f>
        <v>21000</v>
      </c>
      <c r="S133" s="169">
        <f>'Pick-lists &amp; Defaults'!C25</f>
        <v>21000</v>
      </c>
      <c r="T133" s="169">
        <f>'Pick-lists &amp; Defaults'!C26</f>
        <v>21000</v>
      </c>
      <c r="U133" s="169">
        <f>'Pick-lists &amp; Defaults'!C27</f>
        <v>21000</v>
      </c>
      <c r="V133" s="169">
        <f>'Pick-lists &amp; Defaults'!C28</f>
        <v>10000</v>
      </c>
      <c r="W133" s="169">
        <f>'Pick-lists &amp; Defaults'!C29</f>
        <v>20000</v>
      </c>
      <c r="X133" s="169">
        <f>'Pick-lists &amp; Defaults'!C30</f>
        <v>20000</v>
      </c>
      <c r="Y133" s="169">
        <f>'Pick-lists &amp; Defaults'!C31</f>
        <v>7000</v>
      </c>
      <c r="Z133" s="169">
        <f>'Pick-lists &amp; Defaults'!C32</f>
        <v>9000</v>
      </c>
      <c r="AA133" s="169">
        <f>'Pick-lists &amp; Defaults'!C33</f>
        <v>10000</v>
      </c>
      <c r="AB133" s="169">
        <f>'Pick-lists &amp; Defaults'!C34</f>
        <v>10000</v>
      </c>
      <c r="AC133" s="169">
        <f>'Pick-lists &amp; Defaults'!C35</f>
        <v>10000</v>
      </c>
    </row>
    <row r="134" spans="1:122" s="54" customFormat="1" ht="5.0999999999999996" customHeight="1">
      <c r="A134" s="55"/>
      <c r="B134" s="112"/>
      <c r="C134" s="84"/>
      <c r="D134" s="84"/>
      <c r="E134" s="84"/>
      <c r="F134" s="92"/>
      <c r="G134" s="92"/>
      <c r="H134" s="92"/>
      <c r="I134" s="92"/>
      <c r="J134" s="330"/>
      <c r="K134" s="331"/>
      <c r="L134" s="331"/>
      <c r="M134" s="331"/>
      <c r="N134" s="331"/>
      <c r="O134" s="332"/>
      <c r="P134" s="332"/>
      <c r="Q134" s="332"/>
      <c r="R134" s="332"/>
      <c r="S134" s="332"/>
      <c r="T134" s="332"/>
      <c r="U134" s="332"/>
      <c r="V134" s="332"/>
      <c r="W134" s="332"/>
      <c r="X134" s="332"/>
      <c r="Y134" s="332"/>
      <c r="Z134" s="332"/>
      <c r="AA134" s="332"/>
      <c r="AB134" s="332"/>
      <c r="AC134" s="33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8"/>
      <c r="DR134" s="58"/>
    </row>
    <row r="135" spans="1:122" s="54" customFormat="1">
      <c r="A135" s="55"/>
      <c r="B135" s="99" t="s">
        <v>181</v>
      </c>
      <c r="C135" s="94" t="s">
        <v>70</v>
      </c>
      <c r="D135" s="94"/>
      <c r="E135" s="94" t="s">
        <v>189</v>
      </c>
      <c r="F135" s="101" t="s">
        <v>13</v>
      </c>
      <c r="G135" s="101" t="s">
        <v>10</v>
      </c>
      <c r="H135" s="101"/>
      <c r="I135" s="102"/>
      <c r="J135" s="101">
        <v>365</v>
      </c>
      <c r="K135" s="101">
        <v>365</v>
      </c>
      <c r="L135" s="101">
        <v>365</v>
      </c>
      <c r="M135" s="101">
        <v>365</v>
      </c>
      <c r="N135" s="101">
        <v>91</v>
      </c>
      <c r="O135" s="101">
        <v>73</v>
      </c>
      <c r="P135" s="101">
        <v>73</v>
      </c>
      <c r="Q135" s="101">
        <v>122</v>
      </c>
      <c r="R135" s="101">
        <v>365</v>
      </c>
      <c r="S135" s="101">
        <v>365</v>
      </c>
      <c r="T135" s="101">
        <v>365</v>
      </c>
      <c r="U135" s="101">
        <v>365</v>
      </c>
      <c r="V135" s="101">
        <v>365</v>
      </c>
      <c r="W135" s="101">
        <v>52</v>
      </c>
      <c r="X135" s="101">
        <v>365</v>
      </c>
      <c r="Y135" s="101">
        <v>365</v>
      </c>
      <c r="Z135" s="101">
        <v>122</v>
      </c>
      <c r="AA135" s="101">
        <v>182</v>
      </c>
      <c r="AB135" s="101">
        <v>28</v>
      </c>
      <c r="AC135" s="101">
        <v>61</v>
      </c>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8"/>
      <c r="DR135" s="58"/>
    </row>
    <row r="136" spans="1:122" s="52" customFormat="1" ht="5.0999999999999996" customHeight="1">
      <c r="B136" s="100"/>
      <c r="C136" s="106"/>
      <c r="D136" s="106"/>
      <c r="E136" s="85"/>
      <c r="F136" s="106"/>
      <c r="G136" s="106"/>
      <c r="H136" s="106"/>
      <c r="I136" s="102"/>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122" ht="13.8">
      <c r="A137" s="55"/>
      <c r="B137" s="99" t="s">
        <v>298</v>
      </c>
      <c r="C137" s="100" t="s">
        <v>330</v>
      </c>
      <c r="D137" s="100"/>
      <c r="E137" s="94" t="s">
        <v>189</v>
      </c>
      <c r="F137" s="101" t="s">
        <v>13</v>
      </c>
      <c r="G137" s="101" t="s">
        <v>263</v>
      </c>
      <c r="H137" s="101"/>
      <c r="I137" s="171"/>
      <c r="J137" s="101">
        <v>1</v>
      </c>
      <c r="K137" s="101">
        <v>1</v>
      </c>
      <c r="L137" s="101">
        <v>1</v>
      </c>
      <c r="M137" s="101">
        <v>1</v>
      </c>
      <c r="N137" s="101">
        <v>4</v>
      </c>
      <c r="O137" s="101">
        <v>5</v>
      </c>
      <c r="P137" s="101">
        <v>5</v>
      </c>
      <c r="Q137" s="101">
        <v>3</v>
      </c>
      <c r="R137" s="101">
        <v>1</v>
      </c>
      <c r="S137" s="101">
        <v>1</v>
      </c>
      <c r="T137" s="101">
        <v>1</v>
      </c>
      <c r="U137" s="101">
        <v>1</v>
      </c>
      <c r="V137" s="101">
        <v>1</v>
      </c>
      <c r="W137" s="101">
        <v>7</v>
      </c>
      <c r="X137" s="101">
        <v>1</v>
      </c>
      <c r="Y137" s="101">
        <v>1</v>
      </c>
      <c r="Z137" s="101">
        <v>3</v>
      </c>
      <c r="AA137" s="101">
        <v>2</v>
      </c>
      <c r="AB137" s="101">
        <v>13</v>
      </c>
      <c r="AC137" s="101">
        <v>6</v>
      </c>
    </row>
    <row r="138" spans="1:122" s="54" customFormat="1">
      <c r="A138" s="55"/>
      <c r="B138" s="93"/>
      <c r="C138" s="84"/>
      <c r="D138" s="84"/>
      <c r="E138" s="84"/>
      <c r="F138" s="92"/>
      <c r="G138" s="92"/>
      <c r="H138" s="92"/>
      <c r="I138" s="92"/>
      <c r="J138" s="83"/>
      <c r="K138" s="83"/>
      <c r="L138" s="83"/>
      <c r="M138" s="84"/>
      <c r="N138" s="106"/>
      <c r="O138" s="83"/>
      <c r="P138" s="83"/>
      <c r="Q138" s="83"/>
      <c r="R138" s="83"/>
      <c r="S138" s="83"/>
      <c r="T138" s="83"/>
      <c r="U138" s="83"/>
      <c r="V138" s="83"/>
      <c r="W138" s="83"/>
      <c r="X138" s="83"/>
      <c r="Y138" s="83"/>
      <c r="Z138" s="83"/>
      <c r="AA138" s="83"/>
      <c r="AB138" s="83"/>
      <c r="AC138" s="83"/>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8"/>
      <c r="DR138" s="58"/>
    </row>
    <row r="139" spans="1:122" s="52" customFormat="1" ht="16.2">
      <c r="A139" s="55"/>
      <c r="B139" s="80" t="s">
        <v>49</v>
      </c>
      <c r="C139" s="80"/>
      <c r="D139" s="80"/>
      <c r="E139" s="81"/>
      <c r="F139" s="81"/>
      <c r="G139" s="81"/>
      <c r="H139" s="81"/>
      <c r="I139" s="81"/>
      <c r="J139" s="81"/>
      <c r="K139" s="81"/>
      <c r="L139" s="81"/>
      <c r="M139" s="82"/>
      <c r="N139" s="82"/>
      <c r="O139" s="82"/>
      <c r="P139" s="82"/>
      <c r="Q139" s="82"/>
      <c r="R139" s="82"/>
      <c r="S139" s="82"/>
      <c r="T139" s="82"/>
      <c r="U139" s="82"/>
      <c r="V139" s="82"/>
      <c r="W139" s="82"/>
      <c r="X139" s="82"/>
      <c r="Y139" s="82"/>
      <c r="Z139" s="82"/>
      <c r="AA139" s="82"/>
      <c r="AB139" s="82"/>
      <c r="AC139" s="82"/>
      <c r="DQ139" s="58"/>
      <c r="DR139" s="58"/>
    </row>
    <row r="140" spans="1:122" s="52" customFormat="1">
      <c r="A140" s="55"/>
      <c r="B140" s="83"/>
      <c r="C140" s="83"/>
      <c r="D140" s="83"/>
      <c r="E140" s="83"/>
      <c r="F140" s="83"/>
      <c r="G140" s="83"/>
      <c r="H140" s="83"/>
      <c r="I140" s="83"/>
      <c r="J140" s="83"/>
      <c r="K140" s="83"/>
      <c r="L140" s="83"/>
      <c r="M140" s="84"/>
      <c r="N140" s="106"/>
      <c r="O140" s="83"/>
      <c r="P140" s="83"/>
      <c r="Q140" s="83"/>
      <c r="R140" s="83"/>
      <c r="S140" s="83"/>
      <c r="T140" s="83"/>
      <c r="U140" s="83"/>
      <c r="V140" s="83"/>
      <c r="W140" s="83"/>
      <c r="X140" s="83"/>
      <c r="Y140" s="83"/>
      <c r="Z140" s="83"/>
      <c r="AA140" s="83"/>
      <c r="AB140" s="83"/>
      <c r="AC140" s="83"/>
      <c r="DQ140" s="58"/>
      <c r="DR140" s="58"/>
    </row>
    <row r="141" spans="1:122" s="52" customFormat="1" ht="13.8">
      <c r="A141" s="55"/>
      <c r="B141" s="87" t="s">
        <v>2</v>
      </c>
      <c r="C141" s="88" t="s">
        <v>4</v>
      </c>
      <c r="D141" s="88"/>
      <c r="E141" s="88" t="s">
        <v>9</v>
      </c>
      <c r="F141" s="89" t="s">
        <v>11</v>
      </c>
      <c r="G141" s="89" t="s">
        <v>3</v>
      </c>
      <c r="H141" s="89"/>
      <c r="I141" s="89" t="s">
        <v>7</v>
      </c>
      <c r="J141" s="83"/>
      <c r="K141" s="83"/>
      <c r="L141" s="83"/>
      <c r="M141" s="83"/>
      <c r="N141" s="106"/>
      <c r="O141" s="83"/>
      <c r="P141" s="83"/>
      <c r="Q141" s="83"/>
      <c r="R141" s="83"/>
      <c r="S141" s="83"/>
      <c r="T141" s="83"/>
      <c r="U141" s="83"/>
      <c r="V141" s="83"/>
      <c r="W141" s="83"/>
      <c r="X141" s="83"/>
      <c r="Y141" s="83"/>
      <c r="Z141" s="83"/>
      <c r="AA141" s="83"/>
      <c r="AB141" s="83"/>
      <c r="AC141" s="83"/>
      <c r="DQ141" s="58"/>
      <c r="DR141" s="58"/>
    </row>
    <row r="142" spans="1:122" s="52" customFormat="1">
      <c r="A142" s="55"/>
      <c r="B142" s="113"/>
      <c r="C142" s="113"/>
      <c r="D142" s="113"/>
      <c r="E142" s="84"/>
      <c r="F142" s="113"/>
      <c r="G142" s="113"/>
      <c r="H142" s="113"/>
      <c r="I142" s="113"/>
      <c r="J142" s="83"/>
      <c r="K142" s="83"/>
      <c r="L142" s="83"/>
      <c r="M142" s="83"/>
      <c r="N142" s="106"/>
      <c r="O142" s="83"/>
      <c r="P142" s="83"/>
      <c r="Q142" s="83"/>
      <c r="R142" s="83"/>
      <c r="S142" s="83"/>
      <c r="T142" s="83"/>
      <c r="U142" s="83"/>
      <c r="V142" s="83"/>
      <c r="W142" s="83"/>
      <c r="X142" s="83"/>
      <c r="Y142" s="83"/>
      <c r="Z142" s="83"/>
      <c r="AA142" s="83"/>
      <c r="AB142" s="83"/>
      <c r="AC142" s="83"/>
      <c r="DQ142" s="58"/>
      <c r="DR142" s="58"/>
    </row>
    <row r="143" spans="1:122" s="52" customFormat="1" ht="25.2">
      <c r="A143" s="55"/>
      <c r="B143" s="99" t="s">
        <v>129</v>
      </c>
      <c r="C143" s="106" t="s">
        <v>127</v>
      </c>
      <c r="D143" s="106"/>
      <c r="E143" s="305" t="s">
        <v>588</v>
      </c>
      <c r="F143" s="101" t="s">
        <v>6</v>
      </c>
      <c r="G143" s="101" t="s">
        <v>5</v>
      </c>
      <c r="H143" s="101"/>
      <c r="I143" s="101">
        <v>1</v>
      </c>
      <c r="J143" s="101"/>
      <c r="K143" s="101"/>
      <c r="L143" s="101"/>
      <c r="M143" s="101"/>
      <c r="N143" s="101"/>
      <c r="O143" s="101"/>
      <c r="P143" s="101"/>
      <c r="Q143" s="101"/>
      <c r="R143" s="101"/>
      <c r="S143" s="101"/>
      <c r="T143" s="101"/>
      <c r="U143" s="101"/>
      <c r="V143" s="101"/>
      <c r="W143" s="101"/>
      <c r="X143" s="101"/>
      <c r="Y143" s="101"/>
      <c r="Z143" s="101"/>
      <c r="AA143" s="101"/>
      <c r="AB143" s="101"/>
      <c r="AC143" s="101"/>
      <c r="DQ143" s="58"/>
      <c r="DR143" s="58"/>
    </row>
    <row r="144" spans="1:122" s="52" customFormat="1">
      <c r="A144" s="55"/>
      <c r="B144" s="99"/>
      <c r="C144" s="106"/>
      <c r="D144" s="106"/>
      <c r="E144" s="305"/>
      <c r="F144" s="101"/>
      <c r="G144" s="101"/>
      <c r="H144" s="101"/>
      <c r="I144" s="113"/>
      <c r="J144" s="101"/>
      <c r="K144" s="101"/>
      <c r="L144" s="101"/>
      <c r="M144" s="101"/>
      <c r="N144" s="101"/>
      <c r="O144" s="101"/>
      <c r="P144" s="101"/>
      <c r="Q144" s="101"/>
      <c r="R144" s="101"/>
      <c r="S144" s="101"/>
      <c r="T144" s="101"/>
      <c r="U144" s="101"/>
      <c r="V144" s="101"/>
      <c r="W144" s="101"/>
      <c r="X144" s="101"/>
      <c r="Y144" s="101"/>
      <c r="Z144" s="101"/>
      <c r="AA144" s="101"/>
      <c r="AB144" s="101"/>
      <c r="AC144" s="101"/>
      <c r="DQ144" s="58"/>
      <c r="DR144" s="58"/>
    </row>
    <row r="145" spans="1:122" s="52" customFormat="1" ht="102">
      <c r="A145" s="55"/>
      <c r="B145" s="162"/>
      <c r="C145" s="107"/>
      <c r="D145" s="107"/>
      <c r="E145" s="162"/>
      <c r="F145" s="101"/>
      <c r="G145" s="101"/>
      <c r="H145" s="101"/>
      <c r="I145" s="101"/>
      <c r="J145" s="170" t="s">
        <v>15</v>
      </c>
      <c r="K145" s="170" t="s">
        <v>91</v>
      </c>
      <c r="L145" s="170" t="s">
        <v>14</v>
      </c>
      <c r="M145" s="170" t="s">
        <v>92</v>
      </c>
      <c r="N145" s="170" t="s">
        <v>16</v>
      </c>
      <c r="O145" s="170" t="s">
        <v>17</v>
      </c>
      <c r="P145" s="170" t="s">
        <v>18</v>
      </c>
      <c r="Q145" s="170" t="s">
        <v>19</v>
      </c>
      <c r="R145" s="170" t="s">
        <v>20</v>
      </c>
      <c r="S145" s="170" t="s">
        <v>21</v>
      </c>
      <c r="T145" s="170" t="s">
        <v>52</v>
      </c>
      <c r="U145" s="170" t="s">
        <v>22</v>
      </c>
      <c r="V145" s="170" t="s">
        <v>23</v>
      </c>
      <c r="W145" s="170" t="s">
        <v>24</v>
      </c>
      <c r="X145" s="170" t="s">
        <v>25</v>
      </c>
      <c r="Y145" s="170" t="s">
        <v>26</v>
      </c>
      <c r="Z145" s="170" t="s">
        <v>27</v>
      </c>
      <c r="AA145" s="170" t="s">
        <v>28</v>
      </c>
      <c r="AB145" s="170" t="s">
        <v>29</v>
      </c>
      <c r="AC145" s="170" t="s">
        <v>30</v>
      </c>
      <c r="DQ145" s="58"/>
      <c r="DR145" s="58"/>
    </row>
    <row r="146" spans="1:122" s="52" customFormat="1" ht="37.799999999999997">
      <c r="A146" s="55"/>
      <c r="B146" s="99" t="s">
        <v>152</v>
      </c>
      <c r="C146" s="106" t="s">
        <v>128</v>
      </c>
      <c r="D146" s="106"/>
      <c r="E146" s="305" t="s">
        <v>589</v>
      </c>
      <c r="F146" s="101" t="s">
        <v>8</v>
      </c>
      <c r="G146" s="101" t="s">
        <v>5</v>
      </c>
      <c r="H146" s="101"/>
      <c r="I146" s="101"/>
      <c r="J146" s="318">
        <f>IF(AND(ISNUMBER(Nlapp_grass),ISNUMBER(Tgr_int)),IF((Nlapp_grass*Tgr_int/J135)&gt;J137,J137/Nlapp_grass,Tgr_int/J135),"??")</f>
        <v>0.14520547945205478</v>
      </c>
      <c r="K146" s="318">
        <f t="shared" ref="K146:AC146" si="0">IF(AND(ISNUMBER(Nlapp_grass),ISNUMBER(Tgr_int)),IF((Nlapp_grass*Tgr_int/K135)&gt;K137,K137/Nlapp_grass,Tgr_int/K135),"??")</f>
        <v>0.14520547945205478</v>
      </c>
      <c r="L146" s="318">
        <f t="shared" si="0"/>
        <v>0.14520547945205478</v>
      </c>
      <c r="M146" s="318">
        <f t="shared" si="0"/>
        <v>0.14520547945205478</v>
      </c>
      <c r="N146" s="318">
        <f t="shared" si="0"/>
        <v>0.58241758241758246</v>
      </c>
      <c r="O146" s="318">
        <f t="shared" si="0"/>
        <v>0.72602739726027399</v>
      </c>
      <c r="P146" s="318">
        <f t="shared" si="0"/>
        <v>0.72602739726027399</v>
      </c>
      <c r="Q146" s="318">
        <f t="shared" si="0"/>
        <v>0.4344262295081967</v>
      </c>
      <c r="R146" s="318">
        <f t="shared" si="0"/>
        <v>0.14520547945205478</v>
      </c>
      <c r="S146" s="318">
        <f t="shared" si="0"/>
        <v>0.14520547945205478</v>
      </c>
      <c r="T146" s="318">
        <f t="shared" si="0"/>
        <v>0.14520547945205478</v>
      </c>
      <c r="U146" s="318">
        <f t="shared" si="0"/>
        <v>0.14520547945205478</v>
      </c>
      <c r="V146" s="318">
        <f t="shared" si="0"/>
        <v>0.14520547945205478</v>
      </c>
      <c r="W146" s="318">
        <f t="shared" si="0"/>
        <v>1.0192307692307692</v>
      </c>
      <c r="X146" s="318">
        <f t="shared" si="0"/>
        <v>0.14520547945205478</v>
      </c>
      <c r="Y146" s="318">
        <f t="shared" si="0"/>
        <v>0.14520547945205478</v>
      </c>
      <c r="Z146" s="318">
        <f t="shared" si="0"/>
        <v>0.4344262295081967</v>
      </c>
      <c r="AA146" s="318">
        <f t="shared" si="0"/>
        <v>0.29120879120879123</v>
      </c>
      <c r="AB146" s="318">
        <f t="shared" si="0"/>
        <v>1.8928571428571428</v>
      </c>
      <c r="AC146" s="318">
        <f t="shared" si="0"/>
        <v>0.86885245901639341</v>
      </c>
      <c r="DQ146" s="58"/>
      <c r="DR146" s="58"/>
    </row>
    <row r="147" spans="1:122" s="52" customFormat="1" ht="5.0999999999999996" customHeight="1">
      <c r="A147" s="55"/>
      <c r="B147" s="135"/>
      <c r="C147" s="135"/>
      <c r="D147" s="135"/>
      <c r="E147" s="94"/>
      <c r="F147" s="113"/>
      <c r="G147" s="113"/>
      <c r="H147" s="113"/>
      <c r="I147" s="113"/>
      <c r="J147" s="447"/>
      <c r="K147" s="118"/>
      <c r="L147" s="118"/>
      <c r="M147" s="118"/>
      <c r="N147" s="118"/>
      <c r="O147" s="118"/>
      <c r="P147" s="118"/>
      <c r="Q147" s="118"/>
      <c r="R147" s="118"/>
      <c r="S147" s="118"/>
      <c r="T147" s="118"/>
      <c r="U147" s="118"/>
      <c r="V147" s="118"/>
      <c r="W147" s="118"/>
      <c r="X147" s="118"/>
      <c r="Y147" s="118"/>
      <c r="Z147" s="118"/>
      <c r="AA147" s="118"/>
      <c r="AB147" s="118"/>
      <c r="AC147" s="118"/>
      <c r="DQ147" s="58"/>
      <c r="DR147" s="58"/>
    </row>
    <row r="148" spans="1:122" s="52" customFormat="1" ht="27.6">
      <c r="A148" s="55"/>
      <c r="B148" s="99" t="s">
        <v>151</v>
      </c>
      <c r="C148" s="106" t="s">
        <v>103</v>
      </c>
      <c r="D148" s="106"/>
      <c r="E148" s="305" t="s">
        <v>483</v>
      </c>
      <c r="F148" s="92" t="s">
        <v>8</v>
      </c>
      <c r="G148" s="92" t="s">
        <v>50</v>
      </c>
      <c r="H148" s="92"/>
      <c r="I148" s="92"/>
      <c r="J148" s="442" t="str">
        <f t="shared" ref="J148:AC148" si="1">IF(ISNUMBER(app_rate),IF(ISNUMBER(J123),0.001*app_rate*J123,IF(ISNUMBER(J124),0.001*app_rate*J124,"??")),"??")</f>
        <v>??</v>
      </c>
      <c r="K148" s="442" t="str">
        <f t="shared" si="1"/>
        <v>??</v>
      </c>
      <c r="L148" s="442" t="str">
        <f t="shared" si="1"/>
        <v>??</v>
      </c>
      <c r="M148" s="442" t="str">
        <f t="shared" si="1"/>
        <v>??</v>
      </c>
      <c r="N148" s="442" t="str">
        <f t="shared" si="1"/>
        <v>??</v>
      </c>
      <c r="O148" s="442" t="str">
        <f t="shared" si="1"/>
        <v>??</v>
      </c>
      <c r="P148" s="442" t="str">
        <f t="shared" si="1"/>
        <v>??</v>
      </c>
      <c r="Q148" s="442" t="str">
        <f t="shared" si="1"/>
        <v>??</v>
      </c>
      <c r="R148" s="442" t="str">
        <f t="shared" si="1"/>
        <v>??</v>
      </c>
      <c r="S148" s="442" t="str">
        <f t="shared" si="1"/>
        <v>??</v>
      </c>
      <c r="T148" s="442" t="str">
        <f t="shared" si="1"/>
        <v>??</v>
      </c>
      <c r="U148" s="442" t="str">
        <f t="shared" si="1"/>
        <v>??</v>
      </c>
      <c r="V148" s="442" t="str">
        <f t="shared" si="1"/>
        <v>??</v>
      </c>
      <c r="W148" s="442" t="str">
        <f t="shared" si="1"/>
        <v>??</v>
      </c>
      <c r="X148" s="442" t="str">
        <f t="shared" si="1"/>
        <v>??</v>
      </c>
      <c r="Y148" s="442" t="str">
        <f t="shared" si="1"/>
        <v>??</v>
      </c>
      <c r="Z148" s="442" t="str">
        <f t="shared" si="1"/>
        <v>??</v>
      </c>
      <c r="AA148" s="442" t="str">
        <f t="shared" si="1"/>
        <v>??</v>
      </c>
      <c r="AB148" s="442" t="str">
        <f t="shared" si="1"/>
        <v>??</v>
      </c>
      <c r="AC148" s="442" t="str">
        <f t="shared" si="1"/>
        <v>??</v>
      </c>
    </row>
    <row r="149" spans="1:122" s="52" customFormat="1" ht="5.0999999999999996" customHeight="1">
      <c r="A149" s="55"/>
      <c r="B149" s="96"/>
      <c r="C149" s="96"/>
      <c r="D149" s="96"/>
      <c r="E149" s="96"/>
      <c r="F149" s="96"/>
      <c r="G149" s="83"/>
      <c r="H149" s="83"/>
      <c r="I149" s="83"/>
      <c r="J149" s="447"/>
      <c r="K149" s="118"/>
      <c r="L149" s="118"/>
      <c r="M149" s="118"/>
      <c r="N149" s="118"/>
      <c r="O149" s="118"/>
      <c r="P149" s="118"/>
      <c r="Q149" s="118"/>
      <c r="R149" s="118"/>
      <c r="S149" s="118"/>
      <c r="T149" s="118"/>
      <c r="U149" s="118"/>
      <c r="V149" s="118"/>
      <c r="W149" s="118"/>
      <c r="X149" s="118"/>
      <c r="Y149" s="118"/>
      <c r="Z149" s="118"/>
      <c r="AA149" s="118"/>
      <c r="AB149" s="118"/>
      <c r="AC149" s="118"/>
    </row>
    <row r="150" spans="1:122" s="52" customFormat="1">
      <c r="A150" s="55"/>
      <c r="B150" s="494" t="s">
        <v>130</v>
      </c>
      <c r="C150" s="494"/>
      <c r="D150" s="96"/>
      <c r="E150" s="83"/>
      <c r="F150" s="83"/>
      <c r="G150" s="83"/>
      <c r="H150" s="83"/>
      <c r="I150" s="83"/>
      <c r="J150" s="448"/>
      <c r="K150" s="115"/>
      <c r="L150" s="115"/>
      <c r="M150" s="115"/>
      <c r="N150" s="115"/>
      <c r="O150" s="115"/>
      <c r="P150" s="115"/>
      <c r="Q150" s="115"/>
      <c r="R150" s="115"/>
      <c r="S150" s="115"/>
      <c r="T150" s="115"/>
      <c r="U150" s="115"/>
      <c r="V150" s="115"/>
      <c r="W150" s="115"/>
      <c r="X150" s="115"/>
      <c r="Y150" s="115"/>
      <c r="Z150" s="115"/>
      <c r="AA150" s="115"/>
      <c r="AB150" s="115"/>
      <c r="AC150" s="115"/>
    </row>
    <row r="151" spans="1:122" s="52" customFormat="1">
      <c r="A151" s="55"/>
      <c r="B151" s="172" t="s">
        <v>140</v>
      </c>
      <c r="C151" s="119" t="s">
        <v>104</v>
      </c>
      <c r="D151" s="106"/>
      <c r="E151" s="93" t="s">
        <v>106</v>
      </c>
      <c r="F151" s="92" t="s">
        <v>8</v>
      </c>
      <c r="G151" s="92" t="s">
        <v>50</v>
      </c>
      <c r="H151" s="92"/>
      <c r="I151" s="92"/>
      <c r="J151" s="442" t="str">
        <f>IF(AND(ISNUMBER(J126), ISNUMBER(J148)),J126* J148,"??")</f>
        <v>??</v>
      </c>
      <c r="K151" s="442" t="str">
        <f t="shared" ref="K151:AC151" si="2">IF(AND(ISNUMBER(K126), ISNUMBER(K148)),K126* K148,"??")</f>
        <v>??</v>
      </c>
      <c r="L151" s="442" t="str">
        <f t="shared" si="2"/>
        <v>??</v>
      </c>
      <c r="M151" s="442" t="str">
        <f t="shared" si="2"/>
        <v>??</v>
      </c>
      <c r="N151" s="442" t="str">
        <f t="shared" si="2"/>
        <v>??</v>
      </c>
      <c r="O151" s="442" t="str">
        <f t="shared" si="2"/>
        <v>??</v>
      </c>
      <c r="P151" s="442" t="str">
        <f t="shared" si="2"/>
        <v>??</v>
      </c>
      <c r="Q151" s="442" t="str">
        <f t="shared" si="2"/>
        <v>??</v>
      </c>
      <c r="R151" s="442" t="str">
        <f t="shared" si="2"/>
        <v>??</v>
      </c>
      <c r="S151" s="442" t="str">
        <f t="shared" si="2"/>
        <v>??</v>
      </c>
      <c r="T151" s="442" t="str">
        <f t="shared" si="2"/>
        <v>??</v>
      </c>
      <c r="U151" s="442" t="str">
        <f t="shared" si="2"/>
        <v>??</v>
      </c>
      <c r="V151" s="442" t="str">
        <f t="shared" si="2"/>
        <v>??</v>
      </c>
      <c r="W151" s="442" t="str">
        <f t="shared" si="2"/>
        <v>??</v>
      </c>
      <c r="X151" s="442" t="str">
        <f t="shared" si="2"/>
        <v>??</v>
      </c>
      <c r="Y151" s="442" t="str">
        <f t="shared" si="2"/>
        <v>??</v>
      </c>
      <c r="Z151" s="442" t="str">
        <f t="shared" si="2"/>
        <v>??</v>
      </c>
      <c r="AA151" s="442" t="str">
        <f t="shared" si="2"/>
        <v>??</v>
      </c>
      <c r="AB151" s="442" t="str">
        <f t="shared" si="2"/>
        <v>??</v>
      </c>
      <c r="AC151" s="442" t="str">
        <f t="shared" si="2"/>
        <v>??</v>
      </c>
    </row>
    <row r="152" spans="1:122" s="52" customFormat="1">
      <c r="A152" s="55"/>
      <c r="B152" s="172" t="s">
        <v>79</v>
      </c>
      <c r="C152" s="119" t="s">
        <v>105</v>
      </c>
      <c r="D152" s="106"/>
      <c r="E152" s="93" t="s">
        <v>107</v>
      </c>
      <c r="F152" s="92" t="s">
        <v>8</v>
      </c>
      <c r="G152" s="92" t="s">
        <v>50</v>
      </c>
      <c r="H152" s="92"/>
      <c r="I152" s="92"/>
      <c r="J152" s="442" t="str">
        <f t="shared" ref="J152:AC152" si="3">IF(AND(ISNUMBER(J127),ISNUMBER(J148)), J127*J148,"??")</f>
        <v>??</v>
      </c>
      <c r="K152" s="442" t="str">
        <f t="shared" si="3"/>
        <v>??</v>
      </c>
      <c r="L152" s="442" t="str">
        <f t="shared" si="3"/>
        <v>??</v>
      </c>
      <c r="M152" s="442" t="str">
        <f t="shared" si="3"/>
        <v>??</v>
      </c>
      <c r="N152" s="442" t="str">
        <f t="shared" si="3"/>
        <v>??</v>
      </c>
      <c r="O152" s="442" t="str">
        <f t="shared" si="3"/>
        <v>??</v>
      </c>
      <c r="P152" s="442" t="str">
        <f t="shared" si="3"/>
        <v>??</v>
      </c>
      <c r="Q152" s="442" t="str">
        <f t="shared" si="3"/>
        <v>??</v>
      </c>
      <c r="R152" s="442" t="str">
        <f t="shared" si="3"/>
        <v>??</v>
      </c>
      <c r="S152" s="442" t="str">
        <f t="shared" si="3"/>
        <v>??</v>
      </c>
      <c r="T152" s="442" t="str">
        <f t="shared" si="3"/>
        <v>??</v>
      </c>
      <c r="U152" s="442" t="str">
        <f t="shared" si="3"/>
        <v>??</v>
      </c>
      <c r="V152" s="442" t="str">
        <f t="shared" si="3"/>
        <v>??</v>
      </c>
      <c r="W152" s="442" t="str">
        <f t="shared" si="3"/>
        <v>??</v>
      </c>
      <c r="X152" s="442" t="str">
        <f t="shared" si="3"/>
        <v>??</v>
      </c>
      <c r="Y152" s="442" t="str">
        <f t="shared" si="3"/>
        <v>??</v>
      </c>
      <c r="Z152" s="442" t="str">
        <f t="shared" si="3"/>
        <v>??</v>
      </c>
      <c r="AA152" s="442" t="str">
        <f t="shared" si="3"/>
        <v>??</v>
      </c>
      <c r="AB152" s="442" t="str">
        <f t="shared" si="3"/>
        <v>??</v>
      </c>
      <c r="AC152" s="442" t="str">
        <f t="shared" si="3"/>
        <v>??</v>
      </c>
    </row>
    <row r="153" spans="1:122" s="52" customFormat="1">
      <c r="A153" s="55"/>
      <c r="B153" s="172" t="s">
        <v>141</v>
      </c>
      <c r="C153" s="119" t="s">
        <v>142</v>
      </c>
      <c r="D153" s="106"/>
      <c r="E153" s="99" t="s">
        <v>171</v>
      </c>
      <c r="F153" s="92" t="s">
        <v>8</v>
      </c>
      <c r="G153" s="92" t="s">
        <v>50</v>
      </c>
      <c r="H153" s="92"/>
      <c r="I153" s="92"/>
      <c r="J153" s="442" t="str">
        <f t="shared" ref="J153:AC153" si="4">IF(AND(ISNUMBER(J128),ISNUMBER(J148)), J128*J148,"??")</f>
        <v>??</v>
      </c>
      <c r="K153" s="442" t="str">
        <f t="shared" si="4"/>
        <v>??</v>
      </c>
      <c r="L153" s="442" t="str">
        <f t="shared" si="4"/>
        <v>??</v>
      </c>
      <c r="M153" s="442" t="str">
        <f t="shared" si="4"/>
        <v>??</v>
      </c>
      <c r="N153" s="442" t="str">
        <f t="shared" si="4"/>
        <v>??</v>
      </c>
      <c r="O153" s="442" t="str">
        <f t="shared" si="4"/>
        <v>??</v>
      </c>
      <c r="P153" s="442" t="str">
        <f t="shared" si="4"/>
        <v>??</v>
      </c>
      <c r="Q153" s="442" t="str">
        <f t="shared" si="4"/>
        <v>??</v>
      </c>
      <c r="R153" s="442" t="str">
        <f t="shared" si="4"/>
        <v>??</v>
      </c>
      <c r="S153" s="442" t="str">
        <f t="shared" si="4"/>
        <v>??</v>
      </c>
      <c r="T153" s="442" t="str">
        <f t="shared" si="4"/>
        <v>??</v>
      </c>
      <c r="U153" s="442" t="str">
        <f t="shared" si="4"/>
        <v>??</v>
      </c>
      <c r="V153" s="442" t="str">
        <f t="shared" si="4"/>
        <v>??</v>
      </c>
      <c r="W153" s="442" t="str">
        <f t="shared" si="4"/>
        <v>??</v>
      </c>
      <c r="X153" s="442" t="str">
        <f t="shared" si="4"/>
        <v>??</v>
      </c>
      <c r="Y153" s="442" t="str">
        <f t="shared" si="4"/>
        <v>??</v>
      </c>
      <c r="Z153" s="442" t="str">
        <f t="shared" si="4"/>
        <v>??</v>
      </c>
      <c r="AA153" s="442" t="str">
        <f t="shared" si="4"/>
        <v>??</v>
      </c>
      <c r="AB153" s="442" t="str">
        <f t="shared" si="4"/>
        <v>??</v>
      </c>
      <c r="AC153" s="442" t="str">
        <f t="shared" si="4"/>
        <v>??</v>
      </c>
    </row>
    <row r="154" spans="1:122" s="52" customFormat="1">
      <c r="A154" s="55"/>
      <c r="B154" s="172" t="s">
        <v>291</v>
      </c>
      <c r="C154" s="119" t="s">
        <v>293</v>
      </c>
      <c r="D154" s="106"/>
      <c r="E154" s="99" t="s">
        <v>294</v>
      </c>
      <c r="F154" s="92" t="s">
        <v>8</v>
      </c>
      <c r="G154" s="92" t="s">
        <v>50</v>
      </c>
      <c r="H154" s="92"/>
      <c r="I154" s="92"/>
      <c r="J154" s="449" t="str">
        <f>IF(AND(ISNUMBER(J129),ISNUMBER(J148)),J129*J148,"??")</f>
        <v>??</v>
      </c>
      <c r="K154" s="449" t="str">
        <f t="shared" ref="K154:AC154" si="5">IF(AND(ISNUMBER(K129),ISNUMBER(K148)),K129*K148,"??")</f>
        <v>??</v>
      </c>
      <c r="L154" s="449" t="str">
        <f t="shared" si="5"/>
        <v>??</v>
      </c>
      <c r="M154" s="449" t="str">
        <f t="shared" si="5"/>
        <v>??</v>
      </c>
      <c r="N154" s="449" t="str">
        <f t="shared" si="5"/>
        <v>??</v>
      </c>
      <c r="O154" s="449" t="str">
        <f t="shared" si="5"/>
        <v>??</v>
      </c>
      <c r="P154" s="449" t="str">
        <f t="shared" si="5"/>
        <v>??</v>
      </c>
      <c r="Q154" s="449" t="str">
        <f t="shared" si="5"/>
        <v>??</v>
      </c>
      <c r="R154" s="449" t="str">
        <f t="shared" si="5"/>
        <v>??</v>
      </c>
      <c r="S154" s="449" t="str">
        <f t="shared" si="5"/>
        <v>??</v>
      </c>
      <c r="T154" s="449" t="str">
        <f t="shared" si="5"/>
        <v>??</v>
      </c>
      <c r="U154" s="449" t="str">
        <f t="shared" si="5"/>
        <v>??</v>
      </c>
      <c r="V154" s="449" t="str">
        <f t="shared" si="5"/>
        <v>??</v>
      </c>
      <c r="W154" s="449" t="str">
        <f t="shared" si="5"/>
        <v>??</v>
      </c>
      <c r="X154" s="449" t="str">
        <f t="shared" si="5"/>
        <v>??</v>
      </c>
      <c r="Y154" s="449" t="str">
        <f t="shared" si="5"/>
        <v>??</v>
      </c>
      <c r="Z154" s="449" t="str">
        <f t="shared" si="5"/>
        <v>??</v>
      </c>
      <c r="AA154" s="449" t="str">
        <f t="shared" si="5"/>
        <v>??</v>
      </c>
      <c r="AB154" s="449" t="str">
        <f t="shared" si="5"/>
        <v>??</v>
      </c>
      <c r="AC154" s="449" t="str">
        <f t="shared" si="5"/>
        <v>??</v>
      </c>
    </row>
    <row r="155" spans="1:122" s="52" customFormat="1">
      <c r="A155" s="55"/>
      <c r="B155" s="120"/>
      <c r="C155" s="120"/>
      <c r="D155" s="120"/>
      <c r="E155" s="93"/>
      <c r="F155" s="83"/>
      <c r="G155" s="106"/>
      <c r="H155" s="106"/>
      <c r="I155" s="106"/>
      <c r="J155" s="444"/>
      <c r="K155" s="450"/>
      <c r="L155" s="450"/>
      <c r="M155" s="122"/>
      <c r="N155" s="122"/>
      <c r="O155" s="122"/>
      <c r="P155" s="122"/>
      <c r="Q155" s="122"/>
      <c r="R155" s="122"/>
      <c r="S155" s="122"/>
      <c r="T155" s="122"/>
      <c r="U155" s="122"/>
      <c r="V155" s="122"/>
      <c r="W155" s="122"/>
      <c r="X155" s="122"/>
      <c r="Y155" s="122"/>
      <c r="Z155" s="122"/>
      <c r="AA155" s="122"/>
      <c r="AB155" s="122"/>
      <c r="AC155" s="122"/>
    </row>
    <row r="156" spans="1:122" s="52" customFormat="1" ht="49.5" customHeight="1">
      <c r="A156" s="55"/>
      <c r="B156" s="99" t="s">
        <v>143</v>
      </c>
      <c r="C156" s="83" t="s">
        <v>419</v>
      </c>
      <c r="D156" s="83"/>
      <c r="E156" s="123" t="s">
        <v>539</v>
      </c>
      <c r="F156" s="92" t="s">
        <v>8</v>
      </c>
      <c r="G156" s="92" t="s">
        <v>50</v>
      </c>
      <c r="H156" s="92"/>
      <c r="I156" s="92"/>
      <c r="J156" s="442" t="str">
        <f>IF(AND(ISNUMBER(J151),ISNUMBER(J146)),J151*J146,"??")</f>
        <v>??</v>
      </c>
      <c r="K156" s="442" t="str">
        <f t="shared" ref="K156:AC156" si="6">IF(AND(ISNUMBER(K151),ISNUMBER(K146)),K151*K146,"??")</f>
        <v>??</v>
      </c>
      <c r="L156" s="442" t="str">
        <f t="shared" si="6"/>
        <v>??</v>
      </c>
      <c r="M156" s="442" t="str">
        <f t="shared" si="6"/>
        <v>??</v>
      </c>
      <c r="N156" s="442" t="str">
        <f t="shared" si="6"/>
        <v>??</v>
      </c>
      <c r="O156" s="442" t="str">
        <f t="shared" si="6"/>
        <v>??</v>
      </c>
      <c r="P156" s="442" t="str">
        <f t="shared" si="6"/>
        <v>??</v>
      </c>
      <c r="Q156" s="442" t="str">
        <f t="shared" si="6"/>
        <v>??</v>
      </c>
      <c r="R156" s="442" t="str">
        <f t="shared" si="6"/>
        <v>??</v>
      </c>
      <c r="S156" s="442" t="str">
        <f t="shared" si="6"/>
        <v>??</v>
      </c>
      <c r="T156" s="442" t="str">
        <f t="shared" si="6"/>
        <v>??</v>
      </c>
      <c r="U156" s="442" t="str">
        <f t="shared" si="6"/>
        <v>??</v>
      </c>
      <c r="V156" s="442" t="str">
        <f t="shared" si="6"/>
        <v>??</v>
      </c>
      <c r="W156" s="442" t="str">
        <f t="shared" si="6"/>
        <v>??</v>
      </c>
      <c r="X156" s="442" t="str">
        <f t="shared" si="6"/>
        <v>??</v>
      </c>
      <c r="Y156" s="442" t="str">
        <f t="shared" si="6"/>
        <v>??</v>
      </c>
      <c r="Z156" s="442" t="str">
        <f t="shared" si="6"/>
        <v>??</v>
      </c>
      <c r="AA156" s="442" t="str">
        <f t="shared" si="6"/>
        <v>??</v>
      </c>
      <c r="AB156" s="442" t="str">
        <f t="shared" si="6"/>
        <v>??</v>
      </c>
      <c r="AC156" s="442" t="str">
        <f t="shared" si="6"/>
        <v>??</v>
      </c>
    </row>
    <row r="157" spans="1:122" s="52" customFormat="1" ht="37.799999999999997">
      <c r="A157" s="55"/>
      <c r="B157" s="99" t="s">
        <v>144</v>
      </c>
      <c r="C157" s="83" t="s">
        <v>420</v>
      </c>
      <c r="D157" s="83"/>
      <c r="E157" s="123" t="s">
        <v>540</v>
      </c>
      <c r="F157" s="92" t="s">
        <v>8</v>
      </c>
      <c r="G157" s="92" t="s">
        <v>50</v>
      </c>
      <c r="H157" s="92"/>
      <c r="I157" s="92"/>
      <c r="J157" s="442" t="str">
        <f>IF(AND(ISNUMBER(J153),ISNUMBER(J146)),J153*J146,"??")</f>
        <v>??</v>
      </c>
      <c r="K157" s="442" t="str">
        <f t="shared" ref="K157:AC157" si="7">IF(AND(ISNUMBER(K153),ISNUMBER(K146)),K153*K146,"??")</f>
        <v>??</v>
      </c>
      <c r="L157" s="442" t="str">
        <f t="shared" si="7"/>
        <v>??</v>
      </c>
      <c r="M157" s="442" t="str">
        <f t="shared" si="7"/>
        <v>??</v>
      </c>
      <c r="N157" s="442" t="str">
        <f t="shared" si="7"/>
        <v>??</v>
      </c>
      <c r="O157" s="442" t="str">
        <f t="shared" si="7"/>
        <v>??</v>
      </c>
      <c r="P157" s="442" t="str">
        <f t="shared" si="7"/>
        <v>??</v>
      </c>
      <c r="Q157" s="442" t="str">
        <f t="shared" si="7"/>
        <v>??</v>
      </c>
      <c r="R157" s="442" t="str">
        <f t="shared" si="7"/>
        <v>??</v>
      </c>
      <c r="S157" s="442" t="str">
        <f t="shared" si="7"/>
        <v>??</v>
      </c>
      <c r="T157" s="442" t="str">
        <f t="shared" si="7"/>
        <v>??</v>
      </c>
      <c r="U157" s="442" t="str">
        <f t="shared" si="7"/>
        <v>??</v>
      </c>
      <c r="V157" s="442" t="str">
        <f t="shared" si="7"/>
        <v>??</v>
      </c>
      <c r="W157" s="442" t="str">
        <f t="shared" si="7"/>
        <v>??</v>
      </c>
      <c r="X157" s="442" t="str">
        <f t="shared" si="7"/>
        <v>??</v>
      </c>
      <c r="Y157" s="442" t="str">
        <f t="shared" si="7"/>
        <v>??</v>
      </c>
      <c r="Z157" s="442" t="str">
        <f t="shared" si="7"/>
        <v>??</v>
      </c>
      <c r="AA157" s="442" t="str">
        <f t="shared" si="7"/>
        <v>??</v>
      </c>
      <c r="AB157" s="442" t="str">
        <f t="shared" si="7"/>
        <v>??</v>
      </c>
      <c r="AC157" s="442" t="str">
        <f t="shared" si="7"/>
        <v>??</v>
      </c>
    </row>
    <row r="158" spans="1:122" s="52" customFormat="1">
      <c r="A158" s="55"/>
      <c r="B158" s="124"/>
      <c r="C158" s="83"/>
      <c r="D158" s="83"/>
      <c r="E158" s="84"/>
      <c r="F158" s="92"/>
      <c r="G158" s="92"/>
      <c r="H158" s="92"/>
      <c r="I158" s="92"/>
      <c r="J158" s="444"/>
      <c r="K158" s="450"/>
      <c r="L158" s="450"/>
      <c r="M158" s="122"/>
      <c r="N158" s="122"/>
      <c r="O158" s="122"/>
      <c r="P158" s="122"/>
      <c r="Q158" s="122"/>
      <c r="R158" s="122"/>
      <c r="S158" s="122"/>
      <c r="T158" s="122"/>
      <c r="U158" s="122"/>
      <c r="V158" s="122"/>
      <c r="W158" s="122"/>
      <c r="X158" s="122"/>
      <c r="Y158" s="122"/>
      <c r="Z158" s="122"/>
      <c r="AA158" s="122"/>
      <c r="AB158" s="122"/>
      <c r="AC158" s="122"/>
    </row>
    <row r="159" spans="1:122" s="52" customFormat="1" ht="37.799999999999997">
      <c r="A159" s="55"/>
      <c r="B159" s="99" t="s">
        <v>147</v>
      </c>
      <c r="C159" s="83" t="s">
        <v>421</v>
      </c>
      <c r="D159" s="83"/>
      <c r="E159" s="123" t="s">
        <v>541</v>
      </c>
      <c r="F159" s="92" t="s">
        <v>8</v>
      </c>
      <c r="G159" s="92" t="s">
        <v>50</v>
      </c>
      <c r="H159" s="92"/>
      <c r="I159" s="92"/>
      <c r="J159" s="442" t="str">
        <f t="shared" ref="J159:AC159" si="8">IF(ISNUMBER(J151),J151*Napp_manure_ar,"??")</f>
        <v>??</v>
      </c>
      <c r="K159" s="442" t="str">
        <f t="shared" si="8"/>
        <v>??</v>
      </c>
      <c r="L159" s="442" t="str">
        <f t="shared" si="8"/>
        <v>??</v>
      </c>
      <c r="M159" s="442" t="str">
        <f t="shared" si="8"/>
        <v>??</v>
      </c>
      <c r="N159" s="442" t="str">
        <f t="shared" si="8"/>
        <v>??</v>
      </c>
      <c r="O159" s="442" t="str">
        <f t="shared" si="8"/>
        <v>??</v>
      </c>
      <c r="P159" s="442" t="str">
        <f t="shared" si="8"/>
        <v>??</v>
      </c>
      <c r="Q159" s="442" t="str">
        <f t="shared" si="8"/>
        <v>??</v>
      </c>
      <c r="R159" s="442" t="str">
        <f t="shared" si="8"/>
        <v>??</v>
      </c>
      <c r="S159" s="442" t="str">
        <f t="shared" si="8"/>
        <v>??</v>
      </c>
      <c r="T159" s="442" t="str">
        <f t="shared" si="8"/>
        <v>??</v>
      </c>
      <c r="U159" s="442" t="str">
        <f t="shared" si="8"/>
        <v>??</v>
      </c>
      <c r="V159" s="442" t="str">
        <f t="shared" si="8"/>
        <v>??</v>
      </c>
      <c r="W159" s="442" t="str">
        <f t="shared" si="8"/>
        <v>??</v>
      </c>
      <c r="X159" s="442" t="str">
        <f t="shared" si="8"/>
        <v>??</v>
      </c>
      <c r="Y159" s="442" t="str">
        <f t="shared" si="8"/>
        <v>??</v>
      </c>
      <c r="Z159" s="442" t="str">
        <f t="shared" si="8"/>
        <v>??</v>
      </c>
      <c r="AA159" s="442" t="str">
        <f t="shared" si="8"/>
        <v>??</v>
      </c>
      <c r="AB159" s="442" t="str">
        <f t="shared" si="8"/>
        <v>??</v>
      </c>
      <c r="AC159" s="442" t="str">
        <f t="shared" si="8"/>
        <v>??</v>
      </c>
    </row>
    <row r="160" spans="1:122" s="52" customFormat="1" ht="37.799999999999997">
      <c r="A160" s="55"/>
      <c r="B160" s="99" t="s">
        <v>149</v>
      </c>
      <c r="C160" s="83" t="s">
        <v>422</v>
      </c>
      <c r="D160" s="83"/>
      <c r="E160" s="123" t="s">
        <v>542</v>
      </c>
      <c r="F160" s="92" t="s">
        <v>8</v>
      </c>
      <c r="G160" s="92" t="s">
        <v>50</v>
      </c>
      <c r="H160" s="92"/>
      <c r="I160" s="92"/>
      <c r="J160" s="442" t="str">
        <f t="shared" ref="J160:AC160" si="9">IF(ISNUMBER(J153),J153*Napp_manure_ar,"??")</f>
        <v>??</v>
      </c>
      <c r="K160" s="442" t="str">
        <f t="shared" si="9"/>
        <v>??</v>
      </c>
      <c r="L160" s="442" t="str">
        <f t="shared" si="9"/>
        <v>??</v>
      </c>
      <c r="M160" s="442" t="str">
        <f t="shared" si="9"/>
        <v>??</v>
      </c>
      <c r="N160" s="442" t="str">
        <f t="shared" si="9"/>
        <v>??</v>
      </c>
      <c r="O160" s="442" t="str">
        <f t="shared" si="9"/>
        <v>??</v>
      </c>
      <c r="P160" s="442" t="str">
        <f t="shared" si="9"/>
        <v>??</v>
      </c>
      <c r="Q160" s="442" t="str">
        <f t="shared" si="9"/>
        <v>??</v>
      </c>
      <c r="R160" s="442" t="str">
        <f t="shared" si="9"/>
        <v>??</v>
      </c>
      <c r="S160" s="442" t="str">
        <f t="shared" si="9"/>
        <v>??</v>
      </c>
      <c r="T160" s="442" t="str">
        <f t="shared" si="9"/>
        <v>??</v>
      </c>
      <c r="U160" s="442" t="str">
        <f t="shared" si="9"/>
        <v>??</v>
      </c>
      <c r="V160" s="442" t="str">
        <f t="shared" si="9"/>
        <v>??</v>
      </c>
      <c r="W160" s="442" t="str">
        <f t="shared" si="9"/>
        <v>??</v>
      </c>
      <c r="X160" s="442" t="str">
        <f t="shared" si="9"/>
        <v>??</v>
      </c>
      <c r="Y160" s="442" t="str">
        <f t="shared" si="9"/>
        <v>??</v>
      </c>
      <c r="Z160" s="442" t="str">
        <f t="shared" si="9"/>
        <v>??</v>
      </c>
      <c r="AA160" s="442" t="str">
        <f t="shared" si="9"/>
        <v>??</v>
      </c>
      <c r="AB160" s="442" t="str">
        <f t="shared" si="9"/>
        <v>??</v>
      </c>
      <c r="AC160" s="442" t="str">
        <f t="shared" si="9"/>
        <v>??</v>
      </c>
    </row>
    <row r="161" spans="1:122" s="52" customFormat="1">
      <c r="A161" s="55"/>
      <c r="B161" s="96"/>
      <c r="C161" s="83"/>
      <c r="D161" s="83"/>
      <c r="E161" s="96"/>
      <c r="F161" s="92"/>
      <c r="G161" s="92"/>
      <c r="H161" s="92"/>
      <c r="I161" s="92"/>
      <c r="J161" s="444"/>
      <c r="K161" s="450"/>
      <c r="L161" s="450"/>
      <c r="M161" s="122"/>
      <c r="N161" s="122"/>
      <c r="O161" s="122"/>
      <c r="P161" s="122"/>
      <c r="Q161" s="122"/>
      <c r="R161" s="122"/>
      <c r="S161" s="122"/>
      <c r="T161" s="122"/>
      <c r="U161" s="122"/>
      <c r="V161" s="122"/>
      <c r="W161" s="122"/>
      <c r="X161" s="122"/>
      <c r="Y161" s="122"/>
      <c r="Z161" s="122"/>
      <c r="AA161" s="122"/>
      <c r="AB161" s="122"/>
      <c r="AC161" s="122"/>
    </row>
    <row r="162" spans="1:122" s="52" customFormat="1" ht="37.799999999999997">
      <c r="A162" s="55"/>
      <c r="B162" s="93" t="s">
        <v>113</v>
      </c>
      <c r="C162" s="83" t="s">
        <v>423</v>
      </c>
      <c r="D162" s="83"/>
      <c r="E162" s="100" t="s">
        <v>425</v>
      </c>
      <c r="F162" s="92" t="s">
        <v>8</v>
      </c>
      <c r="G162" s="92" t="s">
        <v>50</v>
      </c>
      <c r="H162" s="92"/>
      <c r="I162" s="92"/>
      <c r="J162" s="143">
        <f>J133*J131*Tgr_int</f>
        <v>1796.17</v>
      </c>
      <c r="K162" s="143">
        <f t="shared" ref="K162:AC162" si="10">K133*K131*Tgr_int</f>
        <v>758.74800000000005</v>
      </c>
      <c r="L162" s="143">
        <f t="shared" si="10"/>
        <v>1909.25875</v>
      </c>
      <c r="M162" s="143">
        <f t="shared" si="10"/>
        <v>852.17374999999993</v>
      </c>
      <c r="N162" s="143">
        <f t="shared" si="10"/>
        <v>100.99680000000001</v>
      </c>
      <c r="O162" s="143">
        <f t="shared" si="10"/>
        <v>497.13576</v>
      </c>
      <c r="P162" s="143">
        <f t="shared" si="10"/>
        <v>497.13576</v>
      </c>
      <c r="Q162" s="143">
        <f t="shared" si="10"/>
        <v>645.11599999999999</v>
      </c>
      <c r="R162" s="143">
        <f t="shared" si="10"/>
        <v>2248.2600000000002</v>
      </c>
      <c r="S162" s="143">
        <f t="shared" si="10"/>
        <v>2014.53</v>
      </c>
      <c r="T162" s="143">
        <f t="shared" si="10"/>
        <v>2014.53</v>
      </c>
      <c r="U162" s="143">
        <f t="shared" si="10"/>
        <v>2014.53</v>
      </c>
      <c r="V162" s="143">
        <f t="shared" si="10"/>
        <v>906.29999999999984</v>
      </c>
      <c r="W162" s="143">
        <f t="shared" si="10"/>
        <v>1653.6</v>
      </c>
      <c r="X162" s="143">
        <f t="shared" si="10"/>
        <v>1812.5999999999997</v>
      </c>
      <c r="Y162" s="143">
        <f t="shared" si="10"/>
        <v>1105.58</v>
      </c>
      <c r="Z162" s="143">
        <f t="shared" si="10"/>
        <v>653.4899999999999</v>
      </c>
      <c r="AA162" s="143">
        <f t="shared" si="10"/>
        <v>2554.6</v>
      </c>
      <c r="AB162" s="143">
        <f t="shared" si="10"/>
        <v>1452.1999999999998</v>
      </c>
      <c r="AC162" s="143">
        <f t="shared" si="10"/>
        <v>2554.6</v>
      </c>
    </row>
    <row r="163" spans="1:122" s="52" customFormat="1" ht="5.0999999999999996" customHeight="1">
      <c r="A163" s="55"/>
      <c r="B163" s="96"/>
      <c r="C163" s="83"/>
      <c r="D163" s="83"/>
      <c r="E163" s="100"/>
      <c r="F163" s="92"/>
      <c r="G163" s="92"/>
      <c r="H163" s="92"/>
      <c r="I163" s="92"/>
      <c r="J163" s="122"/>
      <c r="K163" s="122"/>
      <c r="L163" s="122"/>
      <c r="M163" s="122"/>
      <c r="N163" s="122"/>
      <c r="O163" s="122"/>
      <c r="P163" s="122"/>
      <c r="Q163" s="122"/>
      <c r="R163" s="122"/>
      <c r="S163" s="122"/>
      <c r="T163" s="122"/>
      <c r="U163" s="122"/>
      <c r="V163" s="122"/>
      <c r="W163" s="122"/>
      <c r="X163" s="122"/>
      <c r="Y163" s="122"/>
      <c r="Z163" s="122"/>
      <c r="AA163" s="122"/>
      <c r="AB163" s="122"/>
      <c r="AC163" s="122"/>
    </row>
    <row r="164" spans="1:122" s="52" customFormat="1" ht="37.799999999999997">
      <c r="A164" s="55"/>
      <c r="B164" s="93" t="s">
        <v>114</v>
      </c>
      <c r="C164" s="83" t="s">
        <v>424</v>
      </c>
      <c r="D164" s="83"/>
      <c r="E164" s="359" t="s">
        <v>587</v>
      </c>
      <c r="F164" s="92" t="s">
        <v>8</v>
      </c>
      <c r="G164" s="92" t="s">
        <v>50</v>
      </c>
      <c r="H164" s="92"/>
      <c r="I164" s="125"/>
      <c r="J164" s="143">
        <f>J133*J131*J135</f>
        <v>12369.85</v>
      </c>
      <c r="K164" s="143">
        <f t="shared" ref="K164:AC164" si="11">K133*K131*K135</f>
        <v>5225.34</v>
      </c>
      <c r="L164" s="143">
        <f t="shared" si="11"/>
        <v>13148.668750000001</v>
      </c>
      <c r="M164" s="143">
        <f t="shared" si="11"/>
        <v>5868.7437499999996</v>
      </c>
      <c r="N164" s="143">
        <f t="shared" si="11"/>
        <v>173.40960000000001</v>
      </c>
      <c r="O164" s="143">
        <f t="shared" si="11"/>
        <v>684.73415999999997</v>
      </c>
      <c r="P164" s="143">
        <f t="shared" si="11"/>
        <v>684.73415999999997</v>
      </c>
      <c r="Q164" s="143">
        <f t="shared" si="11"/>
        <v>1484.9839999999999</v>
      </c>
      <c r="R164" s="143">
        <f t="shared" si="11"/>
        <v>15483.300000000001</v>
      </c>
      <c r="S164" s="143">
        <f t="shared" si="11"/>
        <v>13873.65</v>
      </c>
      <c r="T164" s="143">
        <f t="shared" si="11"/>
        <v>13873.65</v>
      </c>
      <c r="U164" s="143">
        <f t="shared" si="11"/>
        <v>13873.65</v>
      </c>
      <c r="V164" s="143">
        <f t="shared" si="11"/>
        <v>6241.4999999999991</v>
      </c>
      <c r="W164" s="143">
        <f t="shared" si="11"/>
        <v>1622.3999999999999</v>
      </c>
      <c r="X164" s="143">
        <f t="shared" si="11"/>
        <v>12482.999999999998</v>
      </c>
      <c r="Y164" s="143">
        <f t="shared" si="11"/>
        <v>7613.9</v>
      </c>
      <c r="Z164" s="143">
        <f t="shared" si="11"/>
        <v>1504.2599999999998</v>
      </c>
      <c r="AA164" s="143">
        <f t="shared" si="11"/>
        <v>8772.4</v>
      </c>
      <c r="AB164" s="143">
        <f t="shared" si="11"/>
        <v>767.19999999999993</v>
      </c>
      <c r="AC164" s="143">
        <f t="shared" si="11"/>
        <v>2940.2</v>
      </c>
    </row>
    <row r="165" spans="1:122" s="52" customFormat="1">
      <c r="A165" s="55"/>
      <c r="B165" s="96"/>
      <c r="C165" s="96"/>
      <c r="D165" s="96"/>
      <c r="E165" s="96"/>
      <c r="F165" s="96"/>
      <c r="G165" s="83"/>
      <c r="H165" s="83"/>
      <c r="I165" s="83"/>
      <c r="J165" s="126"/>
      <c r="K165" s="127"/>
      <c r="L165" s="127"/>
      <c r="M165" s="128"/>
      <c r="N165" s="129"/>
      <c r="O165" s="128"/>
      <c r="P165" s="128"/>
      <c r="Q165" s="128"/>
      <c r="R165" s="128"/>
      <c r="S165" s="128"/>
      <c r="T165" s="128"/>
      <c r="U165" s="128"/>
      <c r="V165" s="128"/>
      <c r="W165" s="128"/>
      <c r="X165" s="128"/>
      <c r="Y165" s="128"/>
      <c r="Z165" s="128"/>
      <c r="AA165" s="128"/>
      <c r="AB165" s="128"/>
      <c r="AC165" s="128"/>
    </row>
    <row r="166" spans="1:122" s="52" customFormat="1">
      <c r="A166" s="55"/>
      <c r="B166" s="96"/>
      <c r="C166" s="96"/>
      <c r="D166" s="96"/>
      <c r="E166" s="83"/>
      <c r="F166" s="83"/>
      <c r="G166" s="83"/>
      <c r="H166" s="83"/>
      <c r="I166" s="83"/>
      <c r="J166" s="130"/>
      <c r="K166" s="104"/>
      <c r="L166" s="104"/>
      <c r="M166" s="131"/>
      <c r="N166" s="132"/>
      <c r="O166" s="131"/>
      <c r="P166" s="131"/>
      <c r="Q166" s="131"/>
      <c r="R166" s="131"/>
      <c r="S166" s="131"/>
      <c r="T166" s="131"/>
      <c r="U166" s="131"/>
      <c r="V166" s="131"/>
      <c r="W166" s="131"/>
      <c r="X166" s="131"/>
      <c r="Y166" s="131"/>
      <c r="Z166" s="131"/>
      <c r="AA166" s="131"/>
      <c r="AB166" s="131"/>
      <c r="AC166" s="131"/>
    </row>
    <row r="167" spans="1:122" s="52" customFormat="1" ht="16.2">
      <c r="A167" s="55"/>
      <c r="B167" s="80" t="s">
        <v>1</v>
      </c>
      <c r="C167" s="80"/>
      <c r="D167" s="80"/>
      <c r="E167" s="81"/>
      <c r="F167" s="81"/>
      <c r="G167" s="81"/>
      <c r="H167" s="81"/>
      <c r="I167" s="81"/>
      <c r="J167" s="81"/>
      <c r="K167" s="81"/>
      <c r="L167" s="81"/>
      <c r="M167" s="82"/>
      <c r="N167" s="82"/>
      <c r="O167" s="82"/>
      <c r="P167" s="82"/>
      <c r="Q167" s="82"/>
      <c r="R167" s="82"/>
      <c r="S167" s="82"/>
      <c r="T167" s="82"/>
      <c r="U167" s="82"/>
      <c r="V167" s="82"/>
      <c r="W167" s="82"/>
      <c r="X167" s="82"/>
      <c r="Y167" s="82"/>
      <c r="Z167" s="82"/>
      <c r="AA167" s="82"/>
      <c r="AB167" s="82"/>
      <c r="AC167" s="82"/>
      <c r="DQ167" s="58"/>
      <c r="DR167" s="58"/>
    </row>
    <row r="168" spans="1:122" s="52" customFormat="1">
      <c r="A168" s="55"/>
      <c r="B168" s="83"/>
      <c r="C168" s="83"/>
      <c r="D168" s="83"/>
      <c r="E168" s="83"/>
      <c r="F168" s="83"/>
      <c r="G168" s="83"/>
      <c r="H168" s="83"/>
      <c r="I168" s="83"/>
      <c r="J168" s="83"/>
      <c r="K168" s="83"/>
      <c r="L168" s="83"/>
      <c r="M168" s="84"/>
      <c r="N168" s="106"/>
      <c r="O168" s="83"/>
      <c r="P168" s="83"/>
      <c r="Q168" s="83"/>
      <c r="R168" s="83"/>
      <c r="S168" s="83"/>
      <c r="T168" s="83"/>
      <c r="U168" s="83"/>
      <c r="V168" s="83"/>
      <c r="W168" s="83"/>
      <c r="X168" s="83"/>
      <c r="Y168" s="83"/>
      <c r="Z168" s="83"/>
      <c r="AA168" s="83"/>
      <c r="AB168" s="83"/>
      <c r="AC168" s="83"/>
      <c r="DQ168" s="58"/>
      <c r="DR168" s="58"/>
    </row>
    <row r="169" spans="1:122" s="52" customFormat="1" ht="13.8">
      <c r="A169" s="55"/>
      <c r="B169" s="87" t="s">
        <v>2</v>
      </c>
      <c r="C169" s="88" t="s">
        <v>4</v>
      </c>
      <c r="D169" s="88"/>
      <c r="E169" s="88" t="s">
        <v>9</v>
      </c>
      <c r="F169" s="89" t="s">
        <v>11</v>
      </c>
      <c r="G169" s="89" t="s">
        <v>3</v>
      </c>
      <c r="H169" s="89"/>
      <c r="I169" s="89"/>
      <c r="J169" s="89" t="s">
        <v>7</v>
      </c>
      <c r="K169" s="83"/>
      <c r="L169" s="83"/>
      <c r="M169" s="83"/>
      <c r="N169" s="106"/>
      <c r="O169" s="83"/>
      <c r="P169" s="83"/>
      <c r="Q169" s="83"/>
      <c r="R169" s="83"/>
      <c r="S169" s="83"/>
      <c r="T169" s="83"/>
      <c r="U169" s="83"/>
      <c r="V169" s="83"/>
      <c r="W169" s="83"/>
      <c r="X169" s="83"/>
      <c r="Y169" s="83"/>
      <c r="Z169" s="83"/>
      <c r="AA169" s="83"/>
      <c r="AB169" s="83"/>
      <c r="AC169" s="83"/>
      <c r="DQ169" s="58"/>
      <c r="DR169" s="58"/>
    </row>
    <row r="170" spans="1:122" s="52" customFormat="1">
      <c r="A170" s="55"/>
      <c r="B170" s="87"/>
      <c r="C170" s="88"/>
      <c r="D170" s="88"/>
      <c r="E170" s="88"/>
      <c r="F170" s="89"/>
      <c r="G170" s="89"/>
      <c r="H170" s="89"/>
      <c r="I170" s="89"/>
      <c r="J170" s="89"/>
      <c r="K170" s="83"/>
      <c r="L170" s="83"/>
      <c r="M170" s="83"/>
      <c r="N170" s="106"/>
      <c r="O170" s="83"/>
      <c r="P170" s="83"/>
      <c r="Q170" s="83"/>
      <c r="R170" s="83"/>
      <c r="S170" s="83"/>
      <c r="T170" s="83"/>
      <c r="U170" s="83"/>
      <c r="V170" s="83"/>
      <c r="W170" s="83"/>
      <c r="X170" s="83"/>
      <c r="Y170" s="83"/>
      <c r="Z170" s="83"/>
      <c r="AA170" s="83"/>
      <c r="AB170" s="83"/>
      <c r="AC170" s="83"/>
      <c r="DQ170" s="58"/>
      <c r="DR170" s="58"/>
    </row>
    <row r="171" spans="1:122" s="52" customFormat="1" ht="34.5" customHeight="1">
      <c r="A171" s="55"/>
      <c r="B171" s="490" t="s">
        <v>158</v>
      </c>
      <c r="C171" s="490"/>
      <c r="D171" s="490"/>
      <c r="E171" s="490"/>
      <c r="F171" s="490"/>
      <c r="G171" s="490"/>
      <c r="H171" s="490"/>
      <c r="I171" s="490"/>
      <c r="J171" s="490"/>
      <c r="K171" s="463"/>
      <c r="L171" s="463"/>
      <c r="M171" s="463"/>
      <c r="N171" s="463"/>
      <c r="O171" s="463"/>
      <c r="P171" s="463"/>
      <c r="Q171" s="463"/>
      <c r="R171" s="463"/>
      <c r="S171" s="463"/>
      <c r="T171" s="463"/>
      <c r="U171" s="463"/>
      <c r="V171" s="463"/>
      <c r="W171" s="463"/>
      <c r="X171" s="463"/>
      <c r="Y171" s="463"/>
      <c r="Z171" s="463"/>
      <c r="AA171" s="463"/>
      <c r="AB171" s="463"/>
      <c r="AC171" s="463"/>
      <c r="DQ171" s="58"/>
      <c r="DR171" s="58"/>
    </row>
    <row r="172" spans="1:122" s="52" customFormat="1" ht="17.399999999999999">
      <c r="A172" s="55"/>
      <c r="B172" s="133" t="s">
        <v>93</v>
      </c>
      <c r="C172" s="134"/>
      <c r="D172" s="134"/>
      <c r="E172" s="83"/>
      <c r="F172" s="92"/>
      <c r="G172" s="92"/>
      <c r="H172" s="92"/>
      <c r="I172" s="92"/>
      <c r="J172" s="83"/>
      <c r="K172" s="83"/>
      <c r="L172" s="83"/>
      <c r="M172" s="83"/>
      <c r="N172" s="106"/>
      <c r="O172" s="83"/>
      <c r="P172" s="83"/>
      <c r="Q172" s="83"/>
      <c r="R172" s="83"/>
      <c r="S172" s="83"/>
      <c r="T172" s="83"/>
      <c r="U172" s="83"/>
      <c r="V172" s="83"/>
      <c r="W172" s="83"/>
      <c r="X172" s="83"/>
      <c r="Y172" s="83"/>
      <c r="Z172" s="83"/>
      <c r="AA172" s="83"/>
      <c r="AB172" s="83"/>
      <c r="AC172" s="83"/>
    </row>
    <row r="173" spans="1:122" s="52" customFormat="1" ht="50.4">
      <c r="A173" s="55"/>
      <c r="B173" s="363" t="s">
        <v>441</v>
      </c>
      <c r="C173" s="84" t="s">
        <v>415</v>
      </c>
      <c r="D173" s="84"/>
      <c r="E173" s="358" t="s">
        <v>525</v>
      </c>
      <c r="F173" s="92" t="s">
        <v>8</v>
      </c>
      <c r="G173" s="101" t="s">
        <v>115</v>
      </c>
      <c r="H173" s="101"/>
      <c r="I173" s="101"/>
      <c r="J173" s="442" t="str">
        <f t="shared" ref="J173:AC173" si="12">IF(AND(ISNUMBER(J160),ISNUMBER(J164)),100*J160*QN_arable/(J164*DEPTHarable*RHOsoilwet),"??")</f>
        <v>??</v>
      </c>
      <c r="K173" s="442" t="str">
        <f t="shared" si="12"/>
        <v>??</v>
      </c>
      <c r="L173" s="442" t="str">
        <f t="shared" si="12"/>
        <v>??</v>
      </c>
      <c r="M173" s="442" t="str">
        <f t="shared" si="12"/>
        <v>??</v>
      </c>
      <c r="N173" s="442" t="str">
        <f t="shared" si="12"/>
        <v>??</v>
      </c>
      <c r="O173" s="442" t="str">
        <f t="shared" si="12"/>
        <v>??</v>
      </c>
      <c r="P173" s="442" t="str">
        <f t="shared" si="12"/>
        <v>??</v>
      </c>
      <c r="Q173" s="442" t="str">
        <f t="shared" si="12"/>
        <v>??</v>
      </c>
      <c r="R173" s="442" t="str">
        <f t="shared" si="12"/>
        <v>??</v>
      </c>
      <c r="S173" s="442" t="str">
        <f t="shared" si="12"/>
        <v>??</v>
      </c>
      <c r="T173" s="442" t="str">
        <f t="shared" si="12"/>
        <v>??</v>
      </c>
      <c r="U173" s="442" t="str">
        <f t="shared" si="12"/>
        <v>??</v>
      </c>
      <c r="V173" s="442" t="str">
        <f t="shared" si="12"/>
        <v>??</v>
      </c>
      <c r="W173" s="442" t="str">
        <f t="shared" si="12"/>
        <v>??</v>
      </c>
      <c r="X173" s="442" t="str">
        <f t="shared" si="12"/>
        <v>??</v>
      </c>
      <c r="Y173" s="442" t="str">
        <f t="shared" si="12"/>
        <v>??</v>
      </c>
      <c r="Z173" s="442" t="str">
        <f t="shared" si="12"/>
        <v>??</v>
      </c>
      <c r="AA173" s="442" t="str">
        <f t="shared" si="12"/>
        <v>??</v>
      </c>
      <c r="AB173" s="442" t="str">
        <f t="shared" si="12"/>
        <v>??</v>
      </c>
      <c r="AC173" s="442" t="str">
        <f t="shared" si="12"/>
        <v>??</v>
      </c>
    </row>
    <row r="174" spans="1:122" s="52" customFormat="1" ht="3" customHeight="1">
      <c r="A174" s="55"/>
      <c r="B174" s="100"/>
      <c r="C174" s="83"/>
      <c r="D174" s="83"/>
      <c r="E174" s="96"/>
      <c r="F174" s="92"/>
      <c r="G174" s="101"/>
      <c r="H174" s="101"/>
      <c r="I174" s="101"/>
      <c r="J174" s="148"/>
      <c r="K174" s="148"/>
      <c r="L174" s="148"/>
      <c r="M174" s="148"/>
      <c r="N174" s="148"/>
      <c r="O174" s="148"/>
      <c r="P174" s="148"/>
      <c r="Q174" s="148"/>
      <c r="R174" s="148"/>
      <c r="S174" s="148"/>
      <c r="T174" s="148"/>
      <c r="U174" s="148"/>
      <c r="V174" s="148"/>
      <c r="W174" s="148"/>
      <c r="X174" s="148"/>
      <c r="Y174" s="148"/>
      <c r="Z174" s="148"/>
      <c r="AA174" s="148"/>
      <c r="AB174" s="148"/>
      <c r="AC174" s="148"/>
    </row>
    <row r="175" spans="1:122" s="52" customFormat="1" ht="15" customHeight="1">
      <c r="A175" s="55"/>
      <c r="B175" s="364" t="s">
        <v>442</v>
      </c>
      <c r="C175" s="83"/>
      <c r="D175" s="83"/>
      <c r="E175" s="96"/>
      <c r="F175" s="92"/>
      <c r="G175" s="101"/>
      <c r="H175" s="101"/>
      <c r="I175" s="101"/>
      <c r="J175" s="150"/>
      <c r="K175" s="150"/>
      <c r="L175" s="150"/>
      <c r="M175" s="150"/>
      <c r="N175" s="150"/>
      <c r="O175" s="150"/>
      <c r="P175" s="150"/>
      <c r="Q175" s="150"/>
      <c r="R175" s="150"/>
      <c r="S175" s="150"/>
      <c r="T175" s="150"/>
      <c r="U175" s="150"/>
      <c r="V175" s="150"/>
      <c r="W175" s="150"/>
      <c r="X175" s="150"/>
      <c r="Y175" s="150"/>
      <c r="Z175" s="150"/>
      <c r="AA175" s="150"/>
      <c r="AB175" s="150"/>
      <c r="AC175" s="150"/>
    </row>
    <row r="176" spans="1:122" s="52" customFormat="1" ht="50.4">
      <c r="A176" s="55"/>
      <c r="B176" s="363" t="s">
        <v>443</v>
      </c>
      <c r="C176" s="83" t="s">
        <v>428</v>
      </c>
      <c r="D176" s="83"/>
      <c r="E176" s="359" t="s">
        <v>526</v>
      </c>
      <c r="F176" s="92" t="s">
        <v>8</v>
      </c>
      <c r="G176" s="101" t="s">
        <v>115</v>
      </c>
      <c r="H176" s="101"/>
      <c r="I176" s="101"/>
      <c r="J176" s="442" t="str">
        <f>IF(ISNUMBER(k_ar),IF(AND(k_ar&gt;0,ISNUMBER(J173)),J173*((1-POWER(EXP(-k_ar*Tar_int_10),Nlapp_arab_10)))/(1-EXP(-k_ar*Tar_int_10)),"??"),"??")</f>
        <v>??</v>
      </c>
      <c r="K176" s="442" t="str">
        <f t="shared" ref="K176:AC176" si="13">IF(ISNUMBER(k_ar),IF(AND(k_ar&gt;0,ISNUMBER(K173)),K173*((1-POWER(EXP(-k_ar*Tar_int_10),Nlapp_arab_10)))/(1-EXP(-k_ar*Tar_int_10)),"??"),"??")</f>
        <v>??</v>
      </c>
      <c r="L176" s="442" t="str">
        <f t="shared" si="13"/>
        <v>??</v>
      </c>
      <c r="M176" s="442" t="str">
        <f t="shared" si="13"/>
        <v>??</v>
      </c>
      <c r="N176" s="442" t="str">
        <f t="shared" si="13"/>
        <v>??</v>
      </c>
      <c r="O176" s="442" t="str">
        <f t="shared" si="13"/>
        <v>??</v>
      </c>
      <c r="P176" s="442" t="str">
        <f t="shared" si="13"/>
        <v>??</v>
      </c>
      <c r="Q176" s="442" t="str">
        <f t="shared" si="13"/>
        <v>??</v>
      </c>
      <c r="R176" s="442" t="str">
        <f t="shared" si="13"/>
        <v>??</v>
      </c>
      <c r="S176" s="442" t="str">
        <f t="shared" si="13"/>
        <v>??</v>
      </c>
      <c r="T176" s="442" t="str">
        <f t="shared" si="13"/>
        <v>??</v>
      </c>
      <c r="U176" s="442" t="str">
        <f t="shared" si="13"/>
        <v>??</v>
      </c>
      <c r="V176" s="442" t="str">
        <f t="shared" si="13"/>
        <v>??</v>
      </c>
      <c r="W176" s="442" t="str">
        <f t="shared" si="13"/>
        <v>??</v>
      </c>
      <c r="X176" s="442" t="str">
        <f t="shared" si="13"/>
        <v>??</v>
      </c>
      <c r="Y176" s="442" t="str">
        <f t="shared" si="13"/>
        <v>??</v>
      </c>
      <c r="Z176" s="442" t="str">
        <f t="shared" si="13"/>
        <v>??</v>
      </c>
      <c r="AA176" s="442" t="str">
        <f t="shared" si="13"/>
        <v>??</v>
      </c>
      <c r="AB176" s="442" t="str">
        <f t="shared" si="13"/>
        <v>??</v>
      </c>
      <c r="AC176" s="442" t="str">
        <f t="shared" si="13"/>
        <v>??</v>
      </c>
    </row>
    <row r="177" spans="1:122" s="52" customFormat="1" ht="3" customHeight="1">
      <c r="A177" s="55"/>
      <c r="B177" s="113"/>
      <c r="C177" s="113"/>
      <c r="D177" s="113"/>
      <c r="E177" s="360"/>
      <c r="F177" s="113"/>
      <c r="G177" s="113"/>
      <c r="H177" s="113"/>
      <c r="I177" s="113"/>
      <c r="J177" s="445"/>
      <c r="K177" s="445"/>
      <c r="L177" s="445"/>
      <c r="M177" s="451"/>
      <c r="N177" s="148"/>
      <c r="O177" s="148"/>
      <c r="P177" s="148"/>
      <c r="Q177" s="148"/>
      <c r="R177" s="148"/>
      <c r="S177" s="148"/>
      <c r="T177" s="148"/>
      <c r="U177" s="148"/>
      <c r="V177" s="148"/>
      <c r="W177" s="148"/>
      <c r="X177" s="148"/>
      <c r="Y177" s="148"/>
      <c r="Z177" s="148"/>
      <c r="AA177" s="148"/>
      <c r="AB177" s="148"/>
      <c r="AC177" s="148"/>
      <c r="DQ177" s="58"/>
      <c r="DR177" s="58"/>
    </row>
    <row r="178" spans="1:122" s="52" customFormat="1" ht="40.200000000000003">
      <c r="A178" s="55"/>
      <c r="B178" s="305" t="s">
        <v>426</v>
      </c>
      <c r="C178" s="106" t="s">
        <v>515</v>
      </c>
      <c r="D178" s="106"/>
      <c r="E178" s="359" t="s">
        <v>527</v>
      </c>
      <c r="F178" s="92" t="s">
        <v>8</v>
      </c>
      <c r="G178" s="101" t="s">
        <v>115</v>
      </c>
      <c r="H178" s="101"/>
      <c r="I178" s="113"/>
      <c r="J178" s="442" t="str">
        <f t="shared" ref="J178:AC178" si="14">IF(ISNUMBER(J176),+J176*(1-EXP(-k_ar*30))/(k_ar*30),"??")</f>
        <v>??</v>
      </c>
      <c r="K178" s="442" t="str">
        <f t="shared" si="14"/>
        <v>??</v>
      </c>
      <c r="L178" s="442" t="str">
        <f t="shared" si="14"/>
        <v>??</v>
      </c>
      <c r="M178" s="442" t="str">
        <f t="shared" si="14"/>
        <v>??</v>
      </c>
      <c r="N178" s="442" t="str">
        <f t="shared" si="14"/>
        <v>??</v>
      </c>
      <c r="O178" s="442" t="str">
        <f t="shared" si="14"/>
        <v>??</v>
      </c>
      <c r="P178" s="442" t="str">
        <f t="shared" si="14"/>
        <v>??</v>
      </c>
      <c r="Q178" s="442" t="str">
        <f t="shared" si="14"/>
        <v>??</v>
      </c>
      <c r="R178" s="442" t="str">
        <f t="shared" si="14"/>
        <v>??</v>
      </c>
      <c r="S178" s="442" t="str">
        <f t="shared" si="14"/>
        <v>??</v>
      </c>
      <c r="T178" s="442" t="str">
        <f t="shared" si="14"/>
        <v>??</v>
      </c>
      <c r="U178" s="442" t="str">
        <f t="shared" si="14"/>
        <v>??</v>
      </c>
      <c r="V178" s="442" t="str">
        <f t="shared" si="14"/>
        <v>??</v>
      </c>
      <c r="W178" s="442" t="str">
        <f t="shared" si="14"/>
        <v>??</v>
      </c>
      <c r="X178" s="442" t="str">
        <f t="shared" si="14"/>
        <v>??</v>
      </c>
      <c r="Y178" s="442" t="str">
        <f t="shared" si="14"/>
        <v>??</v>
      </c>
      <c r="Z178" s="442" t="str">
        <f t="shared" si="14"/>
        <v>??</v>
      </c>
      <c r="AA178" s="442" t="str">
        <f t="shared" si="14"/>
        <v>??</v>
      </c>
      <c r="AB178" s="442" t="str">
        <f t="shared" si="14"/>
        <v>??</v>
      </c>
      <c r="AC178" s="442" t="str">
        <f t="shared" si="14"/>
        <v>??</v>
      </c>
      <c r="DQ178" s="58"/>
      <c r="DR178" s="58"/>
    </row>
    <row r="179" spans="1:122" s="52" customFormat="1" ht="3" customHeight="1">
      <c r="A179" s="55"/>
      <c r="B179" s="357"/>
      <c r="C179" s="113"/>
      <c r="D179" s="113"/>
      <c r="E179" s="360"/>
      <c r="F179" s="113"/>
      <c r="G179" s="113"/>
      <c r="H179" s="113"/>
      <c r="I179" s="113"/>
      <c r="J179" s="446"/>
      <c r="K179" s="446"/>
      <c r="L179" s="446"/>
      <c r="M179" s="452"/>
      <c r="N179" s="150"/>
      <c r="O179" s="150"/>
      <c r="P179" s="150"/>
      <c r="Q179" s="150"/>
      <c r="R179" s="150"/>
      <c r="S179" s="150"/>
      <c r="T179" s="150"/>
      <c r="U179" s="150"/>
      <c r="V179" s="150"/>
      <c r="W179" s="150"/>
      <c r="X179" s="150"/>
      <c r="Y179" s="150"/>
      <c r="Z179" s="150"/>
      <c r="AA179" s="150"/>
      <c r="AB179" s="150"/>
      <c r="AC179" s="150"/>
      <c r="DQ179" s="58"/>
      <c r="DR179" s="58"/>
    </row>
    <row r="180" spans="1:122" s="52" customFormat="1" ht="40.200000000000003">
      <c r="A180" s="55"/>
      <c r="B180" s="305" t="s">
        <v>427</v>
      </c>
      <c r="C180" s="106" t="s">
        <v>516</v>
      </c>
      <c r="D180" s="106"/>
      <c r="E180" s="359" t="s">
        <v>528</v>
      </c>
      <c r="F180" s="92" t="s">
        <v>8</v>
      </c>
      <c r="G180" s="101" t="s">
        <v>115</v>
      </c>
      <c r="H180" s="101"/>
      <c r="I180" s="113"/>
      <c r="J180" s="442" t="str">
        <f t="shared" ref="J180:AC180" si="15">IF(ISNUMBER(J176),+J176*(1-EXP(-k_ar*180))/(k_ar*180),"??")</f>
        <v>??</v>
      </c>
      <c r="K180" s="442" t="str">
        <f t="shared" si="15"/>
        <v>??</v>
      </c>
      <c r="L180" s="442" t="str">
        <f t="shared" si="15"/>
        <v>??</v>
      </c>
      <c r="M180" s="442" t="str">
        <f t="shared" si="15"/>
        <v>??</v>
      </c>
      <c r="N180" s="442" t="str">
        <f t="shared" si="15"/>
        <v>??</v>
      </c>
      <c r="O180" s="442" t="str">
        <f t="shared" si="15"/>
        <v>??</v>
      </c>
      <c r="P180" s="442" t="str">
        <f t="shared" si="15"/>
        <v>??</v>
      </c>
      <c r="Q180" s="442" t="str">
        <f t="shared" si="15"/>
        <v>??</v>
      </c>
      <c r="R180" s="442" t="str">
        <f t="shared" si="15"/>
        <v>??</v>
      </c>
      <c r="S180" s="442" t="str">
        <f t="shared" si="15"/>
        <v>??</v>
      </c>
      <c r="T180" s="442" t="str">
        <f t="shared" si="15"/>
        <v>??</v>
      </c>
      <c r="U180" s="442" t="str">
        <f t="shared" si="15"/>
        <v>??</v>
      </c>
      <c r="V180" s="442" t="str">
        <f t="shared" si="15"/>
        <v>??</v>
      </c>
      <c r="W180" s="442" t="str">
        <f t="shared" si="15"/>
        <v>??</v>
      </c>
      <c r="X180" s="442" t="str">
        <f t="shared" si="15"/>
        <v>??</v>
      </c>
      <c r="Y180" s="442" t="str">
        <f t="shared" si="15"/>
        <v>??</v>
      </c>
      <c r="Z180" s="442" t="str">
        <f t="shared" si="15"/>
        <v>??</v>
      </c>
      <c r="AA180" s="442" t="str">
        <f t="shared" si="15"/>
        <v>??</v>
      </c>
      <c r="AB180" s="442" t="str">
        <f t="shared" si="15"/>
        <v>??</v>
      </c>
      <c r="AC180" s="442" t="str">
        <f t="shared" si="15"/>
        <v>??</v>
      </c>
      <c r="DQ180" s="58"/>
      <c r="DR180" s="58"/>
    </row>
    <row r="181" spans="1:122" s="52" customFormat="1" ht="13.5" customHeight="1">
      <c r="A181" s="55"/>
      <c r="B181" s="113"/>
      <c r="C181" s="113"/>
      <c r="D181" s="113"/>
      <c r="E181" s="136"/>
      <c r="F181" s="113"/>
      <c r="G181" s="113"/>
      <c r="H181" s="113"/>
      <c r="I181" s="113"/>
      <c r="J181" s="446"/>
      <c r="K181" s="446"/>
      <c r="L181" s="446"/>
      <c r="M181" s="452"/>
      <c r="N181" s="150"/>
      <c r="O181" s="150"/>
      <c r="P181" s="150"/>
      <c r="Q181" s="150"/>
      <c r="R181" s="150"/>
      <c r="S181" s="150"/>
      <c r="T181" s="150"/>
      <c r="U181" s="150"/>
      <c r="V181" s="150"/>
      <c r="W181" s="150"/>
      <c r="X181" s="150"/>
      <c r="Y181" s="150"/>
      <c r="Z181" s="150"/>
      <c r="AA181" s="150"/>
      <c r="AB181" s="150"/>
      <c r="AC181" s="150"/>
      <c r="DQ181" s="58"/>
      <c r="DR181" s="58"/>
    </row>
    <row r="182" spans="1:122" s="52" customFormat="1" ht="13.5" customHeight="1">
      <c r="A182" s="55"/>
      <c r="B182" s="113"/>
      <c r="C182" s="113"/>
      <c r="D182" s="113"/>
      <c r="E182" s="136"/>
      <c r="F182" s="113"/>
      <c r="G182" s="113"/>
      <c r="H182" s="113"/>
      <c r="I182" s="113"/>
      <c r="J182" s="446"/>
      <c r="K182" s="446"/>
      <c r="L182" s="446"/>
      <c r="M182" s="452"/>
      <c r="N182" s="150"/>
      <c r="O182" s="150"/>
      <c r="P182" s="150"/>
      <c r="Q182" s="150"/>
      <c r="R182" s="150"/>
      <c r="S182" s="150"/>
      <c r="T182" s="150"/>
      <c r="U182" s="150"/>
      <c r="V182" s="150"/>
      <c r="W182" s="150"/>
      <c r="X182" s="150"/>
      <c r="Y182" s="150"/>
      <c r="Z182" s="150"/>
      <c r="AA182" s="150"/>
      <c r="AB182" s="150"/>
      <c r="AC182" s="150"/>
      <c r="DQ182" s="58"/>
      <c r="DR182" s="58"/>
    </row>
    <row r="183" spans="1:122" s="52" customFormat="1" ht="17.399999999999999">
      <c r="A183" s="55"/>
      <c r="B183" s="175" t="s">
        <v>160</v>
      </c>
      <c r="C183" s="160"/>
      <c r="D183" s="160"/>
      <c r="E183" s="96"/>
      <c r="F183" s="92"/>
      <c r="G183" s="101"/>
      <c r="H183" s="101"/>
      <c r="I183" s="105"/>
      <c r="J183" s="106"/>
      <c r="K183" s="106"/>
      <c r="L183" s="106"/>
      <c r="M183" s="106"/>
      <c r="N183" s="106"/>
      <c r="O183" s="106"/>
      <c r="P183" s="106"/>
      <c r="Q183" s="106"/>
      <c r="R183" s="106"/>
      <c r="S183" s="106"/>
      <c r="T183" s="106"/>
      <c r="U183" s="106"/>
      <c r="V183" s="106"/>
      <c r="W183" s="106"/>
      <c r="X183" s="106"/>
      <c r="Y183" s="106"/>
      <c r="Z183" s="106"/>
      <c r="AA183" s="106"/>
      <c r="AB183" s="106"/>
      <c r="AC183" s="106"/>
    </row>
    <row r="184" spans="1:122" s="52" customFormat="1" ht="40.200000000000003">
      <c r="A184" s="55"/>
      <c r="B184" s="99" t="s">
        <v>175</v>
      </c>
      <c r="C184" s="86" t="s">
        <v>429</v>
      </c>
      <c r="D184" s="86"/>
      <c r="E184" s="358" t="s">
        <v>529</v>
      </c>
      <c r="F184" s="92" t="s">
        <v>8</v>
      </c>
      <c r="G184" s="338" t="s">
        <v>401</v>
      </c>
      <c r="H184" s="101"/>
      <c r="I184" s="105"/>
      <c r="J184" s="442" t="str">
        <f t="shared" ref="J184:AC184" si="16">IF(AND(ISNUMBER(J180),Ksoil_water&gt;0),J180*RHOsoilwet/Ksoil_water,"??")</f>
        <v>??</v>
      </c>
      <c r="K184" s="442" t="str">
        <f t="shared" si="16"/>
        <v>??</v>
      </c>
      <c r="L184" s="442" t="str">
        <f t="shared" si="16"/>
        <v>??</v>
      </c>
      <c r="M184" s="442" t="str">
        <f t="shared" si="16"/>
        <v>??</v>
      </c>
      <c r="N184" s="442" t="str">
        <f t="shared" si="16"/>
        <v>??</v>
      </c>
      <c r="O184" s="442" t="str">
        <f t="shared" si="16"/>
        <v>??</v>
      </c>
      <c r="P184" s="442" t="str">
        <f t="shared" si="16"/>
        <v>??</v>
      </c>
      <c r="Q184" s="442" t="str">
        <f t="shared" si="16"/>
        <v>??</v>
      </c>
      <c r="R184" s="442" t="str">
        <f t="shared" si="16"/>
        <v>??</v>
      </c>
      <c r="S184" s="442" t="str">
        <f t="shared" si="16"/>
        <v>??</v>
      </c>
      <c r="T184" s="442" t="str">
        <f t="shared" si="16"/>
        <v>??</v>
      </c>
      <c r="U184" s="442" t="str">
        <f t="shared" si="16"/>
        <v>??</v>
      </c>
      <c r="V184" s="442" t="str">
        <f t="shared" si="16"/>
        <v>??</v>
      </c>
      <c r="W184" s="442" t="str">
        <f t="shared" si="16"/>
        <v>??</v>
      </c>
      <c r="X184" s="442" t="str">
        <f t="shared" si="16"/>
        <v>??</v>
      </c>
      <c r="Y184" s="442" t="str">
        <f t="shared" si="16"/>
        <v>??</v>
      </c>
      <c r="Z184" s="442" t="str">
        <f t="shared" si="16"/>
        <v>??</v>
      </c>
      <c r="AA184" s="442" t="str">
        <f t="shared" si="16"/>
        <v>??</v>
      </c>
      <c r="AB184" s="442" t="str">
        <f t="shared" si="16"/>
        <v>??</v>
      </c>
      <c r="AC184" s="442" t="str">
        <f t="shared" si="16"/>
        <v>??</v>
      </c>
    </row>
    <row r="185" spans="1:122" s="52" customFormat="1" ht="3" customHeight="1">
      <c r="A185" s="55"/>
      <c r="B185" s="96"/>
      <c r="C185" s="86"/>
      <c r="D185" s="86"/>
      <c r="E185" s="358"/>
      <c r="F185" s="92"/>
      <c r="G185" s="101"/>
      <c r="H185" s="101"/>
      <c r="I185" s="105"/>
      <c r="J185" s="118"/>
      <c r="K185" s="118"/>
      <c r="L185" s="118"/>
      <c r="M185" s="118"/>
      <c r="N185" s="118"/>
      <c r="O185" s="118"/>
      <c r="P185" s="118"/>
      <c r="Q185" s="118"/>
      <c r="R185" s="118"/>
      <c r="S185" s="118"/>
      <c r="T185" s="118"/>
      <c r="U185" s="118"/>
      <c r="V185" s="118"/>
      <c r="W185" s="118"/>
      <c r="X185" s="118"/>
      <c r="Y185" s="118"/>
      <c r="Z185" s="118"/>
      <c r="AA185" s="118"/>
      <c r="AB185" s="118"/>
      <c r="AC185" s="118"/>
    </row>
    <row r="186" spans="1:122" s="52" customFormat="1" ht="27.6">
      <c r="A186" s="55"/>
      <c r="B186" s="93" t="s">
        <v>177</v>
      </c>
      <c r="C186" s="86" t="s">
        <v>430</v>
      </c>
      <c r="D186" s="86"/>
      <c r="E186" s="361" t="s">
        <v>530</v>
      </c>
      <c r="F186" s="92" t="s">
        <v>8</v>
      </c>
      <c r="G186" s="101" t="s">
        <v>456</v>
      </c>
      <c r="H186" s="101"/>
      <c r="I186" s="105"/>
      <c r="J186" s="442" t="str">
        <f t="shared" ref="J186:AC186" si="17">IF(AND(ISNUMBER(J178),ISNUMBER(Ksoil_water)),J178*RHOsoilwet/(Ksoil_water*DILUTION*1000),"??")</f>
        <v>??</v>
      </c>
      <c r="K186" s="442" t="str">
        <f t="shared" si="17"/>
        <v>??</v>
      </c>
      <c r="L186" s="442" t="str">
        <f t="shared" si="17"/>
        <v>??</v>
      </c>
      <c r="M186" s="442" t="str">
        <f t="shared" si="17"/>
        <v>??</v>
      </c>
      <c r="N186" s="442" t="str">
        <f t="shared" si="17"/>
        <v>??</v>
      </c>
      <c r="O186" s="442" t="str">
        <f t="shared" si="17"/>
        <v>??</v>
      </c>
      <c r="P186" s="442" t="str">
        <f t="shared" si="17"/>
        <v>??</v>
      </c>
      <c r="Q186" s="442" t="str">
        <f t="shared" si="17"/>
        <v>??</v>
      </c>
      <c r="R186" s="442" t="str">
        <f t="shared" si="17"/>
        <v>??</v>
      </c>
      <c r="S186" s="442" t="str">
        <f t="shared" si="17"/>
        <v>??</v>
      </c>
      <c r="T186" s="442" t="str">
        <f t="shared" si="17"/>
        <v>??</v>
      </c>
      <c r="U186" s="442" t="str">
        <f t="shared" si="17"/>
        <v>??</v>
      </c>
      <c r="V186" s="442" t="str">
        <f t="shared" si="17"/>
        <v>??</v>
      </c>
      <c r="W186" s="442" t="str">
        <f t="shared" si="17"/>
        <v>??</v>
      </c>
      <c r="X186" s="442" t="str">
        <f t="shared" si="17"/>
        <v>??</v>
      </c>
      <c r="Y186" s="442" t="str">
        <f t="shared" si="17"/>
        <v>??</v>
      </c>
      <c r="Z186" s="442" t="str">
        <f t="shared" si="17"/>
        <v>??</v>
      </c>
      <c r="AA186" s="442" t="str">
        <f t="shared" si="17"/>
        <v>??</v>
      </c>
      <c r="AB186" s="442" t="str">
        <f t="shared" si="17"/>
        <v>??</v>
      </c>
      <c r="AC186" s="442" t="str">
        <f t="shared" si="17"/>
        <v>??</v>
      </c>
    </row>
    <row r="187" spans="1:122" s="52" customFormat="1" ht="3" customHeight="1">
      <c r="A187" s="55"/>
      <c r="B187" s="93"/>
      <c r="C187" s="86"/>
      <c r="D187" s="86"/>
      <c r="E187" s="358"/>
      <c r="F187" s="92"/>
      <c r="G187" s="101"/>
      <c r="H187" s="101"/>
      <c r="I187" s="105"/>
      <c r="J187" s="106"/>
      <c r="K187" s="101"/>
      <c r="L187" s="101"/>
      <c r="M187" s="106"/>
      <c r="N187" s="106"/>
      <c r="O187" s="106"/>
      <c r="P187" s="106"/>
      <c r="Q187" s="106"/>
      <c r="R187" s="106"/>
      <c r="S187" s="106"/>
      <c r="T187" s="106"/>
      <c r="U187" s="106"/>
      <c r="V187" s="106"/>
      <c r="W187" s="106"/>
      <c r="X187" s="106"/>
      <c r="Y187" s="106"/>
      <c r="Z187" s="106"/>
      <c r="AA187" s="106"/>
      <c r="AB187" s="106"/>
      <c r="AC187" s="106"/>
    </row>
    <row r="188" spans="1:122" s="52" customFormat="1" ht="27.6">
      <c r="A188" s="55"/>
      <c r="B188" s="99" t="s">
        <v>161</v>
      </c>
      <c r="C188" s="305" t="s">
        <v>173</v>
      </c>
      <c r="D188" s="305"/>
      <c r="E188" s="305" t="s">
        <v>458</v>
      </c>
      <c r="F188" s="174" t="s">
        <v>8</v>
      </c>
      <c r="G188" s="101" t="s">
        <v>115</v>
      </c>
      <c r="H188" s="101"/>
      <c r="I188" s="105"/>
      <c r="J188" s="442" t="str">
        <f t="shared" ref="J188:AC188" si="18">IF(AND(ISNUMBER(J186),ISNUMBER(Ksusp_water)),+J186*Ksusp_water*1000/RHOsusp,"??")</f>
        <v>??</v>
      </c>
      <c r="K188" s="442" t="str">
        <f t="shared" si="18"/>
        <v>??</v>
      </c>
      <c r="L188" s="442" t="str">
        <f t="shared" si="18"/>
        <v>??</v>
      </c>
      <c r="M188" s="442" t="str">
        <f t="shared" si="18"/>
        <v>??</v>
      </c>
      <c r="N188" s="442" t="str">
        <f t="shared" si="18"/>
        <v>??</v>
      </c>
      <c r="O188" s="442" t="str">
        <f t="shared" si="18"/>
        <v>??</v>
      </c>
      <c r="P188" s="442" t="str">
        <f t="shared" si="18"/>
        <v>??</v>
      </c>
      <c r="Q188" s="442" t="str">
        <f t="shared" si="18"/>
        <v>??</v>
      </c>
      <c r="R188" s="442" t="str">
        <f t="shared" si="18"/>
        <v>??</v>
      </c>
      <c r="S188" s="442" t="str">
        <f t="shared" si="18"/>
        <v>??</v>
      </c>
      <c r="T188" s="442" t="str">
        <f t="shared" si="18"/>
        <v>??</v>
      </c>
      <c r="U188" s="442" t="str">
        <f t="shared" si="18"/>
        <v>??</v>
      </c>
      <c r="V188" s="442" t="str">
        <f t="shared" si="18"/>
        <v>??</v>
      </c>
      <c r="W188" s="442" t="str">
        <f t="shared" si="18"/>
        <v>??</v>
      </c>
      <c r="X188" s="442" t="str">
        <f t="shared" si="18"/>
        <v>??</v>
      </c>
      <c r="Y188" s="442" t="str">
        <f t="shared" si="18"/>
        <v>??</v>
      </c>
      <c r="Z188" s="442" t="str">
        <f t="shared" si="18"/>
        <v>??</v>
      </c>
      <c r="AA188" s="442" t="str">
        <f t="shared" si="18"/>
        <v>??</v>
      </c>
      <c r="AB188" s="442" t="str">
        <f t="shared" si="18"/>
        <v>??</v>
      </c>
      <c r="AC188" s="442" t="str">
        <f t="shared" si="18"/>
        <v>??</v>
      </c>
      <c r="AD188" s="55"/>
    </row>
    <row r="189" spans="1:122" s="52" customFormat="1" ht="13.5" customHeight="1">
      <c r="A189" s="55"/>
      <c r="B189" s="113"/>
      <c r="C189" s="113"/>
      <c r="D189" s="113"/>
      <c r="E189" s="136"/>
      <c r="F189" s="113"/>
      <c r="G189" s="113"/>
      <c r="H189" s="113"/>
      <c r="I189" s="113"/>
      <c r="J189" s="446"/>
      <c r="K189" s="446"/>
      <c r="L189" s="446"/>
      <c r="M189" s="452"/>
      <c r="N189" s="150"/>
      <c r="O189" s="150"/>
      <c r="P189" s="150"/>
      <c r="Q189" s="150"/>
      <c r="R189" s="150"/>
      <c r="S189" s="150"/>
      <c r="T189" s="150"/>
      <c r="U189" s="150"/>
      <c r="V189" s="150"/>
      <c r="W189" s="150"/>
      <c r="X189" s="150"/>
      <c r="Y189" s="150"/>
      <c r="Z189" s="150"/>
      <c r="AA189" s="150"/>
      <c r="AB189" s="150"/>
      <c r="AC189" s="150"/>
      <c r="DQ189" s="58"/>
      <c r="DR189" s="58"/>
    </row>
    <row r="190" spans="1:122" s="52" customFormat="1" ht="13.5" customHeight="1">
      <c r="A190" s="55"/>
      <c r="B190" s="113"/>
      <c r="C190" s="113"/>
      <c r="D190" s="113"/>
      <c r="E190" s="136"/>
      <c r="F190" s="113"/>
      <c r="G190" s="113"/>
      <c r="H190" s="113"/>
      <c r="I190" s="113"/>
      <c r="J190" s="446"/>
      <c r="K190" s="446"/>
      <c r="L190" s="446"/>
      <c r="M190" s="452"/>
      <c r="N190" s="150"/>
      <c r="O190" s="150"/>
      <c r="P190" s="150"/>
      <c r="Q190" s="150"/>
      <c r="R190" s="150"/>
      <c r="S190" s="150"/>
      <c r="T190" s="150"/>
      <c r="U190" s="150"/>
      <c r="V190" s="150"/>
      <c r="W190" s="150"/>
      <c r="X190" s="150"/>
      <c r="Y190" s="150"/>
      <c r="Z190" s="150"/>
      <c r="AA190" s="150"/>
      <c r="AB190" s="150"/>
      <c r="AC190" s="150"/>
      <c r="DQ190" s="58"/>
      <c r="DR190" s="58"/>
    </row>
    <row r="191" spans="1:122" s="52" customFormat="1" ht="17.399999999999999">
      <c r="A191" s="55"/>
      <c r="B191" s="133" t="s">
        <v>94</v>
      </c>
      <c r="C191" s="133"/>
      <c r="D191" s="133"/>
      <c r="E191" s="133"/>
      <c r="F191" s="133"/>
      <c r="G191" s="133"/>
      <c r="H191" s="133"/>
      <c r="I191" s="133"/>
      <c r="J191" s="150"/>
      <c r="K191" s="156"/>
      <c r="L191" s="156"/>
      <c r="M191" s="150"/>
      <c r="N191" s="150"/>
      <c r="O191" s="150"/>
      <c r="P191" s="150"/>
      <c r="Q191" s="150"/>
      <c r="R191" s="150"/>
      <c r="S191" s="150"/>
      <c r="T191" s="150"/>
      <c r="U191" s="150"/>
      <c r="V191" s="150"/>
      <c r="W191" s="150"/>
      <c r="X191" s="150"/>
      <c r="Y191" s="150"/>
      <c r="Z191" s="150"/>
      <c r="AA191" s="150"/>
      <c r="AB191" s="150"/>
      <c r="AC191" s="150"/>
    </row>
    <row r="192" spans="1:122" s="52" customFormat="1" ht="50.4">
      <c r="A192" s="55"/>
      <c r="B192" s="305" t="s">
        <v>444</v>
      </c>
      <c r="C192" s="83" t="s">
        <v>433</v>
      </c>
      <c r="D192" s="83"/>
      <c r="E192" s="358" t="s">
        <v>531</v>
      </c>
      <c r="F192" s="92" t="s">
        <v>8</v>
      </c>
      <c r="G192" s="101" t="s">
        <v>115</v>
      </c>
      <c r="H192" s="101"/>
      <c r="I192" s="133"/>
      <c r="J192" s="442" t="str">
        <f t="shared" ref="J192:AC192" si="19">IF(AND(ISNUMBER(J157),ISNUMBER(J162)),100*J157*QN_grass/(J162*Nlapp_grass*DEPTHgrass*RHOsoilwet),"??")</f>
        <v>??</v>
      </c>
      <c r="K192" s="442" t="str">
        <f t="shared" si="19"/>
        <v>??</v>
      </c>
      <c r="L192" s="442" t="str">
        <f t="shared" si="19"/>
        <v>??</v>
      </c>
      <c r="M192" s="442" t="str">
        <f t="shared" si="19"/>
        <v>??</v>
      </c>
      <c r="N192" s="442" t="str">
        <f t="shared" si="19"/>
        <v>??</v>
      </c>
      <c r="O192" s="442" t="str">
        <f t="shared" si="19"/>
        <v>??</v>
      </c>
      <c r="P192" s="442" t="str">
        <f t="shared" si="19"/>
        <v>??</v>
      </c>
      <c r="Q192" s="442" t="str">
        <f t="shared" si="19"/>
        <v>??</v>
      </c>
      <c r="R192" s="442" t="str">
        <f t="shared" si="19"/>
        <v>??</v>
      </c>
      <c r="S192" s="442" t="str">
        <f t="shared" si="19"/>
        <v>??</v>
      </c>
      <c r="T192" s="442" t="str">
        <f t="shared" si="19"/>
        <v>??</v>
      </c>
      <c r="U192" s="442" t="str">
        <f t="shared" si="19"/>
        <v>??</v>
      </c>
      <c r="V192" s="442" t="str">
        <f t="shared" si="19"/>
        <v>??</v>
      </c>
      <c r="W192" s="442" t="str">
        <f t="shared" si="19"/>
        <v>??</v>
      </c>
      <c r="X192" s="442" t="str">
        <f t="shared" si="19"/>
        <v>??</v>
      </c>
      <c r="Y192" s="442" t="str">
        <f t="shared" si="19"/>
        <v>??</v>
      </c>
      <c r="Z192" s="442" t="str">
        <f t="shared" si="19"/>
        <v>??</v>
      </c>
      <c r="AA192" s="442" t="str">
        <f t="shared" si="19"/>
        <v>??</v>
      </c>
      <c r="AB192" s="442" t="str">
        <f t="shared" si="19"/>
        <v>??</v>
      </c>
      <c r="AC192" s="442" t="str">
        <f t="shared" si="19"/>
        <v>??</v>
      </c>
    </row>
    <row r="193" spans="1:122" s="52" customFormat="1" ht="3" customHeight="1">
      <c r="A193" s="55"/>
      <c r="B193" s="96"/>
      <c r="C193" s="159"/>
      <c r="D193" s="159"/>
      <c r="E193" s="358"/>
      <c r="F193" s="96"/>
      <c r="G193" s="83"/>
      <c r="H193" s="83"/>
      <c r="I193" s="83"/>
      <c r="J193" s="150"/>
      <c r="K193" s="156"/>
      <c r="L193" s="156"/>
      <c r="M193" s="453"/>
      <c r="N193" s="150"/>
      <c r="O193" s="150"/>
      <c r="P193" s="150"/>
      <c r="Q193" s="150"/>
      <c r="R193" s="150"/>
      <c r="S193" s="150"/>
      <c r="T193" s="150"/>
      <c r="U193" s="150"/>
      <c r="V193" s="150"/>
      <c r="W193" s="150"/>
      <c r="X193" s="150"/>
      <c r="Y193" s="150"/>
      <c r="Z193" s="150"/>
      <c r="AA193" s="150"/>
      <c r="AB193" s="150"/>
      <c r="AC193" s="150"/>
    </row>
    <row r="194" spans="1:122" s="52" customFormat="1" ht="50.4">
      <c r="A194" s="55"/>
      <c r="B194" s="305" t="s">
        <v>445</v>
      </c>
      <c r="C194" s="83" t="s">
        <v>434</v>
      </c>
      <c r="D194" s="83"/>
      <c r="E194" s="358" t="s">
        <v>532</v>
      </c>
      <c r="F194" s="92" t="s">
        <v>8</v>
      </c>
      <c r="G194" s="101" t="s">
        <v>115</v>
      </c>
      <c r="H194" s="101"/>
      <c r="I194" s="101"/>
      <c r="J194" s="442" t="str">
        <f t="shared" ref="J194:AC194" si="20">IF(AND(ISNUMBER(J157),ISNUMBER(J162)),100*J157*QN_grass/(J162*DEPTHgrass*RHOsoilwet),"??")</f>
        <v>??</v>
      </c>
      <c r="K194" s="442" t="str">
        <f t="shared" si="20"/>
        <v>??</v>
      </c>
      <c r="L194" s="442" t="str">
        <f t="shared" si="20"/>
        <v>??</v>
      </c>
      <c r="M194" s="442" t="str">
        <f t="shared" si="20"/>
        <v>??</v>
      </c>
      <c r="N194" s="442" t="str">
        <f t="shared" si="20"/>
        <v>??</v>
      </c>
      <c r="O194" s="442" t="str">
        <f t="shared" si="20"/>
        <v>??</v>
      </c>
      <c r="P194" s="442" t="str">
        <f t="shared" si="20"/>
        <v>??</v>
      </c>
      <c r="Q194" s="442" t="str">
        <f t="shared" si="20"/>
        <v>??</v>
      </c>
      <c r="R194" s="442" t="str">
        <f t="shared" si="20"/>
        <v>??</v>
      </c>
      <c r="S194" s="442" t="str">
        <f t="shared" si="20"/>
        <v>??</v>
      </c>
      <c r="T194" s="442" t="str">
        <f t="shared" si="20"/>
        <v>??</v>
      </c>
      <c r="U194" s="442" t="str">
        <f t="shared" si="20"/>
        <v>??</v>
      </c>
      <c r="V194" s="442" t="str">
        <f t="shared" si="20"/>
        <v>??</v>
      </c>
      <c r="W194" s="442" t="str">
        <f t="shared" si="20"/>
        <v>??</v>
      </c>
      <c r="X194" s="442" t="str">
        <f t="shared" si="20"/>
        <v>??</v>
      </c>
      <c r="Y194" s="442" t="str">
        <f t="shared" si="20"/>
        <v>??</v>
      </c>
      <c r="Z194" s="442" t="str">
        <f t="shared" si="20"/>
        <v>??</v>
      </c>
      <c r="AA194" s="442" t="str">
        <f t="shared" si="20"/>
        <v>??</v>
      </c>
      <c r="AB194" s="442" t="str">
        <f t="shared" si="20"/>
        <v>??</v>
      </c>
      <c r="AC194" s="442" t="str">
        <f t="shared" si="20"/>
        <v>??</v>
      </c>
    </row>
    <row r="195" spans="1:122" s="52" customFormat="1" ht="3" customHeight="1">
      <c r="A195" s="55"/>
      <c r="B195" s="96"/>
      <c r="C195" s="83"/>
      <c r="D195" s="83"/>
      <c r="E195" s="96"/>
      <c r="F195" s="92"/>
      <c r="G195" s="101"/>
      <c r="H195" s="101"/>
      <c r="I195" s="101"/>
      <c r="J195" s="150"/>
      <c r="K195" s="150"/>
      <c r="L195" s="150"/>
      <c r="M195" s="150"/>
      <c r="N195" s="150"/>
      <c r="O195" s="150"/>
      <c r="P195" s="150"/>
      <c r="Q195" s="150"/>
      <c r="R195" s="150"/>
      <c r="S195" s="150"/>
      <c r="T195" s="150"/>
      <c r="U195" s="150"/>
      <c r="V195" s="150"/>
      <c r="W195" s="150"/>
      <c r="X195" s="150"/>
      <c r="Y195" s="150"/>
      <c r="Z195" s="150"/>
      <c r="AA195" s="150"/>
      <c r="AB195" s="150"/>
      <c r="AC195" s="150"/>
    </row>
    <row r="196" spans="1:122" s="52" customFormat="1" ht="15.75" customHeight="1">
      <c r="A196" s="55"/>
      <c r="B196" s="364" t="s">
        <v>446</v>
      </c>
      <c r="C196" s="83"/>
      <c r="D196" s="83"/>
      <c r="E196" s="96"/>
      <c r="F196" s="92"/>
      <c r="G196" s="101"/>
      <c r="H196" s="101"/>
      <c r="I196" s="101"/>
      <c r="J196" s="150"/>
      <c r="K196" s="150"/>
      <c r="L196" s="150"/>
      <c r="M196" s="150"/>
      <c r="N196" s="150"/>
      <c r="O196" s="150"/>
      <c r="P196" s="150"/>
      <c r="Q196" s="150"/>
      <c r="R196" s="150"/>
      <c r="S196" s="150"/>
      <c r="T196" s="150"/>
      <c r="U196" s="150"/>
      <c r="V196" s="150"/>
      <c r="W196" s="150"/>
      <c r="X196" s="150"/>
      <c r="Y196" s="150"/>
      <c r="Z196" s="150"/>
      <c r="AA196" s="150"/>
      <c r="AB196" s="150"/>
      <c r="AC196" s="150"/>
    </row>
    <row r="197" spans="1:122" s="52" customFormat="1" ht="50.4">
      <c r="A197" s="55"/>
      <c r="B197" s="305" t="s">
        <v>447</v>
      </c>
      <c r="C197" s="83" t="s">
        <v>435</v>
      </c>
      <c r="D197" s="83"/>
      <c r="E197" s="359" t="s">
        <v>533</v>
      </c>
      <c r="F197" s="92" t="s">
        <v>8</v>
      </c>
      <c r="G197" s="101" t="s">
        <v>115</v>
      </c>
      <c r="H197" s="101"/>
      <c r="I197" s="101"/>
      <c r="J197" s="442" t="str">
        <f t="shared" ref="J197:AC197" si="21">IF(ISNUMBER(k_gr),IF(AND(k_gr&gt;0,ISNUMBER(J192)),J192*((1-POWER(EXP(-k_gr*Tgr_int),Nlapp_grass)))/(1-EXP(-k_gr*Tgr_int)),"??"),"??")</f>
        <v>??</v>
      </c>
      <c r="K197" s="442" t="str">
        <f t="shared" si="21"/>
        <v>??</v>
      </c>
      <c r="L197" s="442" t="str">
        <f t="shared" si="21"/>
        <v>??</v>
      </c>
      <c r="M197" s="442" t="str">
        <f t="shared" si="21"/>
        <v>??</v>
      </c>
      <c r="N197" s="442" t="str">
        <f t="shared" si="21"/>
        <v>??</v>
      </c>
      <c r="O197" s="442" t="str">
        <f t="shared" si="21"/>
        <v>??</v>
      </c>
      <c r="P197" s="442" t="str">
        <f t="shared" si="21"/>
        <v>??</v>
      </c>
      <c r="Q197" s="442" t="str">
        <f t="shared" si="21"/>
        <v>??</v>
      </c>
      <c r="R197" s="442" t="str">
        <f t="shared" si="21"/>
        <v>??</v>
      </c>
      <c r="S197" s="442" t="str">
        <f t="shared" si="21"/>
        <v>??</v>
      </c>
      <c r="T197" s="442" t="str">
        <f t="shared" si="21"/>
        <v>??</v>
      </c>
      <c r="U197" s="442" t="str">
        <f t="shared" si="21"/>
        <v>??</v>
      </c>
      <c r="V197" s="442" t="str">
        <f t="shared" si="21"/>
        <v>??</v>
      </c>
      <c r="W197" s="442" t="str">
        <f t="shared" si="21"/>
        <v>??</v>
      </c>
      <c r="X197" s="442" t="str">
        <f t="shared" si="21"/>
        <v>??</v>
      </c>
      <c r="Y197" s="442" t="str">
        <f t="shared" si="21"/>
        <v>??</v>
      </c>
      <c r="Z197" s="442" t="str">
        <f t="shared" si="21"/>
        <v>??</v>
      </c>
      <c r="AA197" s="442" t="str">
        <f t="shared" si="21"/>
        <v>??</v>
      </c>
      <c r="AB197" s="442" t="str">
        <f t="shared" si="21"/>
        <v>??</v>
      </c>
      <c r="AC197" s="442" t="str">
        <f t="shared" si="21"/>
        <v>??</v>
      </c>
    </row>
    <row r="198" spans="1:122" s="52" customFormat="1" ht="3" customHeight="1">
      <c r="A198" s="55"/>
      <c r="B198" s="113"/>
      <c r="C198" s="113"/>
      <c r="D198" s="113"/>
      <c r="E198" s="136"/>
      <c r="F198" s="113"/>
      <c r="G198" s="113"/>
      <c r="H198" s="113"/>
      <c r="I198" s="113"/>
      <c r="J198" s="445"/>
      <c r="K198" s="445"/>
      <c r="L198" s="445"/>
      <c r="M198" s="451"/>
      <c r="N198" s="148"/>
      <c r="O198" s="148"/>
      <c r="P198" s="148"/>
      <c r="Q198" s="148"/>
      <c r="R198" s="148"/>
      <c r="S198" s="148"/>
      <c r="T198" s="148"/>
      <c r="U198" s="148"/>
      <c r="V198" s="148"/>
      <c r="W198" s="148"/>
      <c r="X198" s="148"/>
      <c r="Y198" s="148"/>
      <c r="Z198" s="148"/>
      <c r="AA198" s="148"/>
      <c r="AB198" s="148"/>
      <c r="AC198" s="148"/>
      <c r="DQ198" s="58"/>
      <c r="DR198" s="58"/>
    </row>
    <row r="199" spans="1:122" s="52" customFormat="1" ht="15" customHeight="1">
      <c r="A199" s="55"/>
      <c r="B199" s="364" t="s">
        <v>442</v>
      </c>
      <c r="C199" s="83"/>
      <c r="D199" s="83"/>
      <c r="E199" s="96"/>
      <c r="F199" s="92"/>
      <c r="G199" s="101"/>
      <c r="H199" s="101"/>
      <c r="I199" s="455"/>
      <c r="J199" s="150"/>
      <c r="K199" s="150"/>
      <c r="L199" s="150"/>
      <c r="M199" s="150"/>
      <c r="N199" s="150"/>
      <c r="O199" s="150"/>
      <c r="P199" s="150"/>
      <c r="Q199" s="150"/>
      <c r="R199" s="150"/>
      <c r="S199" s="150"/>
      <c r="T199" s="150"/>
      <c r="U199" s="150"/>
      <c r="V199" s="150"/>
      <c r="W199" s="150"/>
      <c r="X199" s="150"/>
      <c r="Y199" s="150"/>
      <c r="Z199" s="150"/>
      <c r="AA199" s="150"/>
      <c r="AB199" s="150"/>
      <c r="AC199" s="150"/>
    </row>
    <row r="200" spans="1:122" s="52" customFormat="1" ht="50.4">
      <c r="A200" s="55"/>
      <c r="B200" s="305" t="s">
        <v>448</v>
      </c>
      <c r="C200" s="106" t="s">
        <v>436</v>
      </c>
      <c r="D200" s="106"/>
      <c r="E200" s="362" t="s">
        <v>534</v>
      </c>
      <c r="F200" s="92" t="s">
        <v>8</v>
      </c>
      <c r="G200" s="101" t="s">
        <v>115</v>
      </c>
      <c r="H200" s="101"/>
      <c r="I200" s="86"/>
      <c r="J200" s="442" t="str">
        <f t="shared" ref="J200:AC200" si="22">IF(ISNUMBER(J197),J197*(1-(POWER(EXP(-k_gr*365),10)))/(1-EXP(-k_gr*365)),"??")</f>
        <v>??</v>
      </c>
      <c r="K200" s="442" t="str">
        <f t="shared" si="22"/>
        <v>??</v>
      </c>
      <c r="L200" s="442" t="str">
        <f t="shared" si="22"/>
        <v>??</v>
      </c>
      <c r="M200" s="442" t="str">
        <f t="shared" si="22"/>
        <v>??</v>
      </c>
      <c r="N200" s="442" t="str">
        <f t="shared" si="22"/>
        <v>??</v>
      </c>
      <c r="O200" s="442" t="str">
        <f t="shared" si="22"/>
        <v>??</v>
      </c>
      <c r="P200" s="442" t="str">
        <f t="shared" si="22"/>
        <v>??</v>
      </c>
      <c r="Q200" s="442" t="str">
        <f t="shared" si="22"/>
        <v>??</v>
      </c>
      <c r="R200" s="442" t="str">
        <f t="shared" si="22"/>
        <v>??</v>
      </c>
      <c r="S200" s="442" t="str">
        <f t="shared" si="22"/>
        <v>??</v>
      </c>
      <c r="T200" s="442" t="str">
        <f t="shared" si="22"/>
        <v>??</v>
      </c>
      <c r="U200" s="442" t="str">
        <f t="shared" si="22"/>
        <v>??</v>
      </c>
      <c r="V200" s="442" t="str">
        <f t="shared" si="22"/>
        <v>??</v>
      </c>
      <c r="W200" s="442" t="str">
        <f t="shared" si="22"/>
        <v>??</v>
      </c>
      <c r="X200" s="442" t="str">
        <f t="shared" si="22"/>
        <v>??</v>
      </c>
      <c r="Y200" s="442" t="str">
        <f t="shared" si="22"/>
        <v>??</v>
      </c>
      <c r="Z200" s="442" t="str">
        <f t="shared" si="22"/>
        <v>??</v>
      </c>
      <c r="AA200" s="442" t="str">
        <f t="shared" si="22"/>
        <v>??</v>
      </c>
      <c r="AB200" s="442" t="str">
        <f t="shared" si="22"/>
        <v>??</v>
      </c>
      <c r="AC200" s="442" t="str">
        <f t="shared" si="22"/>
        <v>??</v>
      </c>
    </row>
    <row r="201" spans="1:122" s="52" customFormat="1" ht="3" customHeight="1">
      <c r="A201" s="55"/>
      <c r="B201" s="113"/>
      <c r="C201" s="113"/>
      <c r="D201" s="113"/>
      <c r="E201" s="360"/>
      <c r="F201" s="113"/>
      <c r="G201" s="113"/>
      <c r="H201" s="113"/>
      <c r="I201" s="113"/>
      <c r="J201" s="447"/>
      <c r="K201" s="447"/>
      <c r="L201" s="447"/>
      <c r="M201" s="454"/>
      <c r="N201" s="118"/>
      <c r="O201" s="118"/>
      <c r="P201" s="118"/>
      <c r="Q201" s="118"/>
      <c r="R201" s="118"/>
      <c r="S201" s="118"/>
      <c r="T201" s="118"/>
      <c r="U201" s="118"/>
      <c r="V201" s="118"/>
      <c r="W201" s="118"/>
      <c r="X201" s="118"/>
      <c r="Y201" s="118"/>
      <c r="Z201" s="118"/>
      <c r="AA201" s="118"/>
      <c r="AB201" s="118"/>
      <c r="AC201" s="118"/>
      <c r="DQ201" s="58"/>
      <c r="DR201" s="58"/>
    </row>
    <row r="202" spans="1:122" s="52" customFormat="1" ht="39">
      <c r="A202" s="55"/>
      <c r="B202" s="305" t="s">
        <v>431</v>
      </c>
      <c r="C202" s="85" t="s">
        <v>437</v>
      </c>
      <c r="D202" s="85"/>
      <c r="E202" s="359" t="s">
        <v>535</v>
      </c>
      <c r="F202" s="92" t="s">
        <v>8</v>
      </c>
      <c r="G202" s="101" t="s">
        <v>115</v>
      </c>
      <c r="H202" s="101"/>
      <c r="I202" s="113"/>
      <c r="J202" s="442" t="str">
        <f>IF(ISNUMBER(J200),J200*(1-EXP(-k_gr*30))/(k_gr*30),"??")</f>
        <v>??</v>
      </c>
      <c r="K202" s="442" t="str">
        <f t="shared" ref="K202:AC202" si="23">IF(ISNUMBER(K200),K200*(1-EXP(-k_gr*30))/(k_gr*30),"??")</f>
        <v>??</v>
      </c>
      <c r="L202" s="442" t="str">
        <f t="shared" si="23"/>
        <v>??</v>
      </c>
      <c r="M202" s="442" t="str">
        <f t="shared" si="23"/>
        <v>??</v>
      </c>
      <c r="N202" s="442" t="str">
        <f t="shared" si="23"/>
        <v>??</v>
      </c>
      <c r="O202" s="442" t="str">
        <f t="shared" si="23"/>
        <v>??</v>
      </c>
      <c r="P202" s="442" t="str">
        <f t="shared" si="23"/>
        <v>??</v>
      </c>
      <c r="Q202" s="442" t="str">
        <f t="shared" si="23"/>
        <v>??</v>
      </c>
      <c r="R202" s="442" t="str">
        <f t="shared" si="23"/>
        <v>??</v>
      </c>
      <c r="S202" s="442" t="str">
        <f t="shared" si="23"/>
        <v>??</v>
      </c>
      <c r="T202" s="442" t="str">
        <f t="shared" si="23"/>
        <v>??</v>
      </c>
      <c r="U202" s="442" t="str">
        <f t="shared" si="23"/>
        <v>??</v>
      </c>
      <c r="V202" s="442" t="str">
        <f t="shared" si="23"/>
        <v>??</v>
      </c>
      <c r="W202" s="442" t="str">
        <f t="shared" si="23"/>
        <v>??</v>
      </c>
      <c r="X202" s="442" t="str">
        <f t="shared" si="23"/>
        <v>??</v>
      </c>
      <c r="Y202" s="442" t="str">
        <f t="shared" si="23"/>
        <v>??</v>
      </c>
      <c r="Z202" s="442" t="str">
        <f t="shared" si="23"/>
        <v>??</v>
      </c>
      <c r="AA202" s="442" t="str">
        <f t="shared" si="23"/>
        <v>??</v>
      </c>
      <c r="AB202" s="442" t="str">
        <f t="shared" si="23"/>
        <v>??</v>
      </c>
      <c r="AC202" s="442" t="str">
        <f t="shared" si="23"/>
        <v>??</v>
      </c>
      <c r="DQ202" s="58"/>
      <c r="DR202" s="58"/>
    </row>
    <row r="203" spans="1:122" s="52" customFormat="1" ht="3" customHeight="1">
      <c r="A203" s="55"/>
      <c r="B203" s="357"/>
      <c r="C203" s="357"/>
      <c r="D203" s="357"/>
      <c r="E203" s="360"/>
      <c r="F203" s="113"/>
      <c r="G203" s="113"/>
      <c r="H203" s="113"/>
      <c r="I203" s="113"/>
      <c r="J203" s="106"/>
      <c r="K203" s="135"/>
      <c r="L203" s="135"/>
      <c r="M203" s="94"/>
      <c r="N203" s="106"/>
      <c r="O203" s="106"/>
      <c r="P203" s="106"/>
      <c r="Q203" s="106"/>
      <c r="R203" s="106"/>
      <c r="S203" s="106"/>
      <c r="T203" s="106"/>
      <c r="U203" s="106"/>
      <c r="V203" s="106"/>
      <c r="W203" s="106"/>
      <c r="X203" s="106"/>
      <c r="Y203" s="106"/>
      <c r="Z203" s="106"/>
      <c r="AA203" s="106"/>
      <c r="AB203" s="106"/>
      <c r="AC203" s="106"/>
      <c r="DQ203" s="58"/>
      <c r="DR203" s="58"/>
    </row>
    <row r="204" spans="1:122" s="52" customFormat="1" ht="39">
      <c r="A204" s="55"/>
      <c r="B204" s="305" t="s">
        <v>432</v>
      </c>
      <c r="C204" s="85" t="s">
        <v>438</v>
      </c>
      <c r="D204" s="85"/>
      <c r="E204" s="359" t="s">
        <v>536</v>
      </c>
      <c r="F204" s="113"/>
      <c r="G204" s="113"/>
      <c r="H204" s="113"/>
      <c r="I204" s="113"/>
      <c r="J204" s="442" t="str">
        <f t="shared" ref="J204:AC204" si="24">IF(ISNUMBER(J200),J200*(1-EXP(-k_gr*180))/(k_gr*180),"??")</f>
        <v>??</v>
      </c>
      <c r="K204" s="442" t="str">
        <f t="shared" si="24"/>
        <v>??</v>
      </c>
      <c r="L204" s="442" t="str">
        <f t="shared" si="24"/>
        <v>??</v>
      </c>
      <c r="M204" s="442" t="str">
        <f t="shared" si="24"/>
        <v>??</v>
      </c>
      <c r="N204" s="442" t="str">
        <f t="shared" si="24"/>
        <v>??</v>
      </c>
      <c r="O204" s="442" t="str">
        <f t="shared" si="24"/>
        <v>??</v>
      </c>
      <c r="P204" s="442" t="str">
        <f t="shared" si="24"/>
        <v>??</v>
      </c>
      <c r="Q204" s="442" t="str">
        <f t="shared" si="24"/>
        <v>??</v>
      </c>
      <c r="R204" s="442" t="str">
        <f t="shared" si="24"/>
        <v>??</v>
      </c>
      <c r="S204" s="442" t="str">
        <f t="shared" si="24"/>
        <v>??</v>
      </c>
      <c r="T204" s="442" t="str">
        <f t="shared" si="24"/>
        <v>??</v>
      </c>
      <c r="U204" s="442" t="str">
        <f t="shared" si="24"/>
        <v>??</v>
      </c>
      <c r="V204" s="442" t="str">
        <f t="shared" si="24"/>
        <v>??</v>
      </c>
      <c r="W204" s="442" t="str">
        <f t="shared" si="24"/>
        <v>??</v>
      </c>
      <c r="X204" s="442" t="str">
        <f t="shared" si="24"/>
        <v>??</v>
      </c>
      <c r="Y204" s="442" t="str">
        <f t="shared" si="24"/>
        <v>??</v>
      </c>
      <c r="Z204" s="442" t="str">
        <f t="shared" si="24"/>
        <v>??</v>
      </c>
      <c r="AA204" s="442" t="str">
        <f t="shared" si="24"/>
        <v>??</v>
      </c>
      <c r="AB204" s="442" t="str">
        <f t="shared" si="24"/>
        <v>??</v>
      </c>
      <c r="AC204" s="442" t="str">
        <f t="shared" si="24"/>
        <v>??</v>
      </c>
      <c r="DQ204" s="58"/>
      <c r="DR204" s="58"/>
    </row>
    <row r="205" spans="1:122" s="52" customFormat="1" ht="13.5" customHeight="1">
      <c r="A205" s="55"/>
      <c r="B205" s="99"/>
      <c r="C205" s="113"/>
      <c r="D205" s="113"/>
      <c r="E205" s="100"/>
      <c r="F205" s="113"/>
      <c r="G205" s="113"/>
      <c r="H205" s="113"/>
      <c r="I205" s="113"/>
      <c r="J205" s="106"/>
      <c r="K205" s="135"/>
      <c r="L205" s="135"/>
      <c r="M205" s="94"/>
      <c r="N205" s="106"/>
      <c r="O205" s="106"/>
      <c r="P205" s="106"/>
      <c r="Q205" s="106"/>
      <c r="R205" s="106"/>
      <c r="S205" s="106"/>
      <c r="T205" s="106"/>
      <c r="U205" s="106"/>
      <c r="V205" s="106"/>
      <c r="W205" s="106"/>
      <c r="X205" s="106"/>
      <c r="Y205" s="106"/>
      <c r="Z205" s="106"/>
      <c r="AA205" s="106"/>
      <c r="AB205" s="106"/>
      <c r="AC205" s="106"/>
      <c r="DQ205" s="58"/>
      <c r="DR205" s="58"/>
    </row>
    <row r="206" spans="1:122" s="52" customFormat="1">
      <c r="A206" s="55"/>
      <c r="B206" s="160"/>
      <c r="C206" s="99"/>
      <c r="D206" s="99"/>
      <c r="E206" s="99"/>
      <c r="F206" s="174"/>
      <c r="G206" s="101"/>
      <c r="H206" s="101"/>
      <c r="I206" s="105"/>
      <c r="J206" s="106"/>
      <c r="K206" s="106"/>
      <c r="L206" s="106"/>
      <c r="M206" s="106"/>
      <c r="N206" s="106"/>
      <c r="O206" s="106"/>
      <c r="P206" s="106"/>
      <c r="Q206" s="106"/>
      <c r="R206" s="106"/>
      <c r="S206" s="106"/>
      <c r="T206" s="106"/>
      <c r="U206" s="106"/>
      <c r="V206" s="106"/>
      <c r="W206" s="106"/>
      <c r="X206" s="106"/>
      <c r="Y206" s="106"/>
      <c r="Z206" s="106"/>
      <c r="AA206" s="106"/>
      <c r="AB206" s="106"/>
      <c r="AC206" s="106"/>
      <c r="AD206" s="55"/>
    </row>
    <row r="207" spans="1:122" s="52" customFormat="1" ht="17.399999999999999">
      <c r="A207" s="55"/>
      <c r="B207" s="175" t="s">
        <v>159</v>
      </c>
      <c r="C207" s="113"/>
      <c r="D207" s="113"/>
      <c r="E207" s="133"/>
      <c r="F207" s="133"/>
      <c r="G207" s="133"/>
      <c r="H207" s="133"/>
      <c r="I207" s="133"/>
      <c r="J207" s="106"/>
      <c r="K207" s="101"/>
      <c r="L207" s="101"/>
      <c r="M207" s="100"/>
      <c r="N207" s="106"/>
      <c r="O207" s="106"/>
      <c r="P207" s="106"/>
      <c r="Q207" s="106"/>
      <c r="R207" s="106"/>
      <c r="S207" s="106"/>
      <c r="T207" s="106"/>
      <c r="U207" s="106"/>
      <c r="V207" s="106"/>
      <c r="W207" s="106"/>
      <c r="X207" s="106"/>
      <c r="Y207" s="106"/>
      <c r="Z207" s="106"/>
      <c r="AA207" s="106"/>
      <c r="AB207" s="106"/>
      <c r="AC207" s="106"/>
    </row>
    <row r="208" spans="1:122" s="52" customFormat="1" ht="40.200000000000003">
      <c r="A208" s="55"/>
      <c r="B208" s="99" t="s">
        <v>174</v>
      </c>
      <c r="C208" s="86" t="s">
        <v>439</v>
      </c>
      <c r="D208" s="86"/>
      <c r="E208" s="358" t="s">
        <v>537</v>
      </c>
      <c r="F208" s="92" t="s">
        <v>8</v>
      </c>
      <c r="G208" s="338" t="s">
        <v>401</v>
      </c>
      <c r="H208" s="101"/>
      <c r="I208" s="105"/>
      <c r="J208" s="442" t="str">
        <f t="shared" ref="J208:AC208" si="25">IF(AND(ISNUMBER(J204),Ksoil_water&gt;0),J204*RHOsoilwet/Ksoil_water,"??")</f>
        <v>??</v>
      </c>
      <c r="K208" s="442" t="str">
        <f t="shared" si="25"/>
        <v>??</v>
      </c>
      <c r="L208" s="442" t="str">
        <f t="shared" si="25"/>
        <v>??</v>
      </c>
      <c r="M208" s="442" t="str">
        <f t="shared" si="25"/>
        <v>??</v>
      </c>
      <c r="N208" s="442" t="str">
        <f t="shared" si="25"/>
        <v>??</v>
      </c>
      <c r="O208" s="442" t="str">
        <f t="shared" si="25"/>
        <v>??</v>
      </c>
      <c r="P208" s="442" t="str">
        <f t="shared" si="25"/>
        <v>??</v>
      </c>
      <c r="Q208" s="442" t="str">
        <f t="shared" si="25"/>
        <v>??</v>
      </c>
      <c r="R208" s="442" t="str">
        <f t="shared" si="25"/>
        <v>??</v>
      </c>
      <c r="S208" s="442" t="str">
        <f t="shared" si="25"/>
        <v>??</v>
      </c>
      <c r="T208" s="442" t="str">
        <f t="shared" si="25"/>
        <v>??</v>
      </c>
      <c r="U208" s="442" t="str">
        <f t="shared" si="25"/>
        <v>??</v>
      </c>
      <c r="V208" s="442" t="str">
        <f t="shared" si="25"/>
        <v>??</v>
      </c>
      <c r="W208" s="442" t="str">
        <f t="shared" si="25"/>
        <v>??</v>
      </c>
      <c r="X208" s="442" t="str">
        <f t="shared" si="25"/>
        <v>??</v>
      </c>
      <c r="Y208" s="442" t="str">
        <f t="shared" si="25"/>
        <v>??</v>
      </c>
      <c r="Z208" s="442" t="str">
        <f t="shared" si="25"/>
        <v>??</v>
      </c>
      <c r="AA208" s="442" t="str">
        <f t="shared" si="25"/>
        <v>??</v>
      </c>
      <c r="AB208" s="442" t="str">
        <f t="shared" si="25"/>
        <v>??</v>
      </c>
      <c r="AC208" s="442" t="str">
        <f t="shared" si="25"/>
        <v>??</v>
      </c>
    </row>
    <row r="209" spans="1:30" s="52" customFormat="1" ht="5.0999999999999996" customHeight="1">
      <c r="A209" s="55"/>
      <c r="B209" s="96"/>
      <c r="C209" s="86"/>
      <c r="D209" s="86"/>
      <c r="E209" s="358"/>
      <c r="F209" s="92"/>
      <c r="G209" s="101"/>
      <c r="H209" s="101"/>
      <c r="I209" s="105"/>
      <c r="J209" s="118"/>
      <c r="K209" s="118"/>
      <c r="L209" s="118"/>
      <c r="M209" s="118"/>
      <c r="N209" s="118"/>
      <c r="O209" s="118"/>
      <c r="P209" s="118"/>
      <c r="Q209" s="118"/>
      <c r="R209" s="118"/>
      <c r="S209" s="118"/>
      <c r="T209" s="118"/>
      <c r="U209" s="118"/>
      <c r="V209" s="118"/>
      <c r="W209" s="118"/>
      <c r="X209" s="118"/>
      <c r="Y209" s="118"/>
      <c r="Z209" s="118"/>
      <c r="AA209" s="118"/>
      <c r="AB209" s="118"/>
      <c r="AC209" s="118"/>
    </row>
    <row r="210" spans="1:30" s="52" customFormat="1" ht="27.6">
      <c r="A210" s="55"/>
      <c r="B210" s="99" t="s">
        <v>176</v>
      </c>
      <c r="C210" s="86" t="s">
        <v>440</v>
      </c>
      <c r="D210" s="86"/>
      <c r="E210" s="361" t="s">
        <v>538</v>
      </c>
      <c r="F210" s="92" t="s">
        <v>8</v>
      </c>
      <c r="G210" s="101" t="s">
        <v>456</v>
      </c>
      <c r="H210" s="101"/>
      <c r="I210" s="105"/>
      <c r="J210" s="442" t="str">
        <f t="shared" ref="J210:AC210" si="26">IF(AND(ISNUMBER(J202),ISNUMBER(Ksoil_water)),J202*RHOsoilwet/(Ksoil_water*DILUTION*1000),"??")</f>
        <v>??</v>
      </c>
      <c r="K210" s="442" t="str">
        <f t="shared" si="26"/>
        <v>??</v>
      </c>
      <c r="L210" s="442" t="str">
        <f t="shared" si="26"/>
        <v>??</v>
      </c>
      <c r="M210" s="442" t="str">
        <f t="shared" si="26"/>
        <v>??</v>
      </c>
      <c r="N210" s="442" t="str">
        <f t="shared" si="26"/>
        <v>??</v>
      </c>
      <c r="O210" s="442" t="str">
        <f t="shared" si="26"/>
        <v>??</v>
      </c>
      <c r="P210" s="442" t="str">
        <f t="shared" si="26"/>
        <v>??</v>
      </c>
      <c r="Q210" s="442" t="str">
        <f t="shared" si="26"/>
        <v>??</v>
      </c>
      <c r="R210" s="442" t="str">
        <f t="shared" si="26"/>
        <v>??</v>
      </c>
      <c r="S210" s="442" t="str">
        <f t="shared" si="26"/>
        <v>??</v>
      </c>
      <c r="T210" s="442" t="str">
        <f t="shared" si="26"/>
        <v>??</v>
      </c>
      <c r="U210" s="442" t="str">
        <f t="shared" si="26"/>
        <v>??</v>
      </c>
      <c r="V210" s="442" t="str">
        <f t="shared" si="26"/>
        <v>??</v>
      </c>
      <c r="W210" s="442" t="str">
        <f t="shared" si="26"/>
        <v>??</v>
      </c>
      <c r="X210" s="442" t="str">
        <f t="shared" si="26"/>
        <v>??</v>
      </c>
      <c r="Y210" s="442" t="str">
        <f t="shared" si="26"/>
        <v>??</v>
      </c>
      <c r="Z210" s="442" t="str">
        <f t="shared" si="26"/>
        <v>??</v>
      </c>
      <c r="AA210" s="442" t="str">
        <f t="shared" si="26"/>
        <v>??</v>
      </c>
      <c r="AB210" s="442" t="str">
        <f t="shared" si="26"/>
        <v>??</v>
      </c>
      <c r="AC210" s="442" t="str">
        <f t="shared" si="26"/>
        <v>??</v>
      </c>
      <c r="AD210" s="55"/>
    </row>
    <row r="211" spans="1:30" s="52" customFormat="1" ht="3" customHeight="1">
      <c r="A211" s="55"/>
      <c r="B211" s="160"/>
      <c r="C211" s="86"/>
      <c r="D211" s="86"/>
      <c r="E211" s="358"/>
      <c r="F211" s="92"/>
      <c r="G211" s="101"/>
      <c r="H211" s="101"/>
      <c r="I211" s="105"/>
      <c r="J211" s="106"/>
      <c r="K211" s="106"/>
      <c r="L211" s="106"/>
      <c r="M211" s="106"/>
      <c r="N211" s="106"/>
      <c r="O211" s="106"/>
      <c r="P211" s="106"/>
      <c r="Q211" s="106"/>
      <c r="R211" s="106"/>
      <c r="S211" s="106"/>
      <c r="T211" s="106"/>
      <c r="U211" s="106"/>
      <c r="V211" s="106"/>
      <c r="W211" s="106"/>
      <c r="X211" s="106"/>
      <c r="Y211" s="106"/>
      <c r="Z211" s="106"/>
      <c r="AA211" s="106"/>
      <c r="AB211" s="106"/>
      <c r="AC211" s="106"/>
      <c r="AD211" s="55"/>
    </row>
    <row r="212" spans="1:30" s="52" customFormat="1" ht="27.6">
      <c r="A212" s="55"/>
      <c r="B212" s="99" t="s">
        <v>161</v>
      </c>
      <c r="C212" s="305" t="s">
        <v>162</v>
      </c>
      <c r="D212" s="305"/>
      <c r="E212" s="305" t="s">
        <v>457</v>
      </c>
      <c r="F212" s="174" t="s">
        <v>8</v>
      </c>
      <c r="G212" s="101" t="s">
        <v>115</v>
      </c>
      <c r="H212" s="101"/>
      <c r="I212" s="105"/>
      <c r="J212" s="442" t="str">
        <f t="shared" ref="J212:AC212" si="27">IF(AND(ISNUMBER(J210),ISNUMBER(Ksusp_water)),+J210*Ksusp_water*1000/RHOsusp,"??")</f>
        <v>??</v>
      </c>
      <c r="K212" s="442" t="str">
        <f t="shared" si="27"/>
        <v>??</v>
      </c>
      <c r="L212" s="442" t="str">
        <f t="shared" si="27"/>
        <v>??</v>
      </c>
      <c r="M212" s="442" t="str">
        <f t="shared" si="27"/>
        <v>??</v>
      </c>
      <c r="N212" s="442" t="str">
        <f t="shared" si="27"/>
        <v>??</v>
      </c>
      <c r="O212" s="442" t="str">
        <f t="shared" si="27"/>
        <v>??</v>
      </c>
      <c r="P212" s="442" t="str">
        <f t="shared" si="27"/>
        <v>??</v>
      </c>
      <c r="Q212" s="442" t="str">
        <f t="shared" si="27"/>
        <v>??</v>
      </c>
      <c r="R212" s="442" t="str">
        <f t="shared" si="27"/>
        <v>??</v>
      </c>
      <c r="S212" s="442" t="str">
        <f t="shared" si="27"/>
        <v>??</v>
      </c>
      <c r="T212" s="442" t="str">
        <f t="shared" si="27"/>
        <v>??</v>
      </c>
      <c r="U212" s="442" t="str">
        <f t="shared" si="27"/>
        <v>??</v>
      </c>
      <c r="V212" s="442" t="str">
        <f t="shared" si="27"/>
        <v>??</v>
      </c>
      <c r="W212" s="442" t="str">
        <f t="shared" si="27"/>
        <v>??</v>
      </c>
      <c r="X212" s="442" t="str">
        <f t="shared" si="27"/>
        <v>??</v>
      </c>
      <c r="Y212" s="442" t="str">
        <f t="shared" si="27"/>
        <v>??</v>
      </c>
      <c r="Z212" s="442" t="str">
        <f t="shared" si="27"/>
        <v>??</v>
      </c>
      <c r="AA212" s="442" t="str">
        <f t="shared" si="27"/>
        <v>??</v>
      </c>
      <c r="AB212" s="442" t="str">
        <f t="shared" si="27"/>
        <v>??</v>
      </c>
      <c r="AC212" s="442" t="str">
        <f t="shared" si="27"/>
        <v>??</v>
      </c>
      <c r="AD212" s="55"/>
    </row>
    <row r="213" spans="1:30" s="52" customFormat="1">
      <c r="A213" s="55"/>
      <c r="B213" s="160"/>
      <c r="C213" s="99"/>
      <c r="D213" s="99"/>
      <c r="E213" s="99"/>
      <c r="F213" s="174"/>
      <c r="G213" s="101"/>
      <c r="H213" s="101"/>
      <c r="I213" s="105"/>
      <c r="J213" s="106"/>
      <c r="K213" s="106"/>
      <c r="L213" s="106"/>
      <c r="M213" s="106"/>
      <c r="N213" s="106"/>
      <c r="O213" s="106"/>
      <c r="P213" s="106"/>
      <c r="Q213" s="106"/>
      <c r="R213" s="106"/>
      <c r="S213" s="106"/>
      <c r="T213" s="106"/>
      <c r="U213" s="106"/>
      <c r="V213" s="106"/>
      <c r="W213" s="106"/>
      <c r="X213" s="106"/>
      <c r="Y213" s="106"/>
      <c r="Z213" s="106"/>
      <c r="AA213" s="106"/>
      <c r="AB213" s="106"/>
      <c r="AC213" s="106"/>
      <c r="AD213" s="55"/>
    </row>
    <row r="214" spans="1:30" s="52" customFormat="1">
      <c r="A214" s="55"/>
      <c r="B214" s="160"/>
      <c r="C214" s="99"/>
      <c r="D214" s="99"/>
      <c r="E214" s="99"/>
      <c r="F214" s="174"/>
      <c r="G214" s="101"/>
      <c r="H214" s="101"/>
      <c r="I214" s="105"/>
      <c r="J214" s="106"/>
      <c r="K214" s="106"/>
      <c r="L214" s="106"/>
      <c r="M214" s="106"/>
      <c r="N214" s="106"/>
      <c r="O214" s="106"/>
      <c r="P214" s="106"/>
      <c r="Q214" s="106"/>
      <c r="R214" s="106"/>
      <c r="S214" s="106"/>
      <c r="T214" s="106"/>
      <c r="U214" s="106"/>
      <c r="V214" s="106"/>
      <c r="W214" s="106"/>
      <c r="X214" s="106"/>
      <c r="Y214" s="106"/>
      <c r="Z214" s="106"/>
      <c r="AA214" s="106"/>
      <c r="AB214" s="106"/>
      <c r="AC214" s="106"/>
      <c r="AD214" s="55"/>
    </row>
    <row r="215" spans="1:30" s="52" customFormat="1" ht="17.399999999999999">
      <c r="A215" s="55"/>
      <c r="B215" s="133" t="s">
        <v>291</v>
      </c>
      <c r="C215" s="133"/>
      <c r="D215" s="133"/>
      <c r="E215" s="96"/>
      <c r="F215" s="133"/>
      <c r="G215" s="86"/>
      <c r="H215" s="86"/>
      <c r="I215" s="86"/>
      <c r="J215" s="106"/>
      <c r="K215" s="101"/>
      <c r="L215" s="101"/>
      <c r="M215" s="106"/>
      <c r="N215" s="106"/>
      <c r="O215" s="106"/>
      <c r="P215" s="106"/>
      <c r="Q215" s="106"/>
      <c r="R215" s="106"/>
      <c r="S215" s="106"/>
      <c r="T215" s="106"/>
      <c r="U215" s="106"/>
      <c r="V215" s="106"/>
      <c r="W215" s="106"/>
      <c r="X215" s="106"/>
      <c r="Y215" s="106"/>
      <c r="Z215" s="106"/>
      <c r="AA215" s="106"/>
      <c r="AB215" s="106"/>
      <c r="AC215" s="106"/>
    </row>
    <row r="216" spans="1:30" s="52" customFormat="1" ht="15">
      <c r="A216" s="55"/>
      <c r="B216" s="93" t="s">
        <v>221</v>
      </c>
      <c r="C216" s="99" t="s">
        <v>296</v>
      </c>
      <c r="D216" s="99"/>
      <c r="E216" s="279" t="s">
        <v>344</v>
      </c>
      <c r="F216" s="174" t="s">
        <v>8</v>
      </c>
      <c r="G216" s="101" t="s">
        <v>266</v>
      </c>
      <c r="H216" s="101"/>
      <c r="I216" s="105"/>
      <c r="J216" s="442" t="str">
        <f t="shared" ref="J216:AC216" si="28">IF(ISNUMBER(J154),J154*Cstd_air*J137/(Temission*source_strength),"??")</f>
        <v>??</v>
      </c>
      <c r="K216" s="442" t="str">
        <f t="shared" si="28"/>
        <v>??</v>
      </c>
      <c r="L216" s="442" t="str">
        <f t="shared" si="28"/>
        <v>??</v>
      </c>
      <c r="M216" s="442" t="str">
        <f t="shared" si="28"/>
        <v>??</v>
      </c>
      <c r="N216" s="442" t="str">
        <f t="shared" si="28"/>
        <v>??</v>
      </c>
      <c r="O216" s="442" t="str">
        <f t="shared" si="28"/>
        <v>??</v>
      </c>
      <c r="P216" s="442" t="str">
        <f t="shared" si="28"/>
        <v>??</v>
      </c>
      <c r="Q216" s="442" t="str">
        <f t="shared" si="28"/>
        <v>??</v>
      </c>
      <c r="R216" s="442" t="str">
        <f t="shared" si="28"/>
        <v>??</v>
      </c>
      <c r="S216" s="442" t="str">
        <f t="shared" si="28"/>
        <v>??</v>
      </c>
      <c r="T216" s="442" t="str">
        <f t="shared" si="28"/>
        <v>??</v>
      </c>
      <c r="U216" s="442" t="str">
        <f t="shared" si="28"/>
        <v>??</v>
      </c>
      <c r="V216" s="442" t="str">
        <f t="shared" si="28"/>
        <v>??</v>
      </c>
      <c r="W216" s="442" t="str">
        <f t="shared" si="28"/>
        <v>??</v>
      </c>
      <c r="X216" s="442" t="str">
        <f t="shared" si="28"/>
        <v>??</v>
      </c>
      <c r="Y216" s="442" t="str">
        <f t="shared" si="28"/>
        <v>??</v>
      </c>
      <c r="Z216" s="442" t="str">
        <f t="shared" si="28"/>
        <v>??</v>
      </c>
      <c r="AA216" s="442" t="str">
        <f t="shared" si="28"/>
        <v>??</v>
      </c>
      <c r="AB216" s="442" t="str">
        <f t="shared" si="28"/>
        <v>??</v>
      </c>
      <c r="AC216" s="442" t="str">
        <f t="shared" si="28"/>
        <v>??</v>
      </c>
      <c r="AD216" s="55"/>
    </row>
    <row r="217" spans="1:30" s="52" customFormat="1">
      <c r="A217" s="55"/>
      <c r="B217" s="96"/>
      <c r="C217" s="83"/>
      <c r="D217" s="83"/>
      <c r="E217" s="291"/>
      <c r="F217" s="83"/>
      <c r="G217" s="86"/>
      <c r="H217" s="86"/>
      <c r="I217" s="86"/>
      <c r="J217" s="106"/>
      <c r="K217" s="101"/>
      <c r="L217" s="101"/>
      <c r="M217" s="106"/>
      <c r="N217" s="106"/>
      <c r="O217" s="106"/>
      <c r="P217" s="106"/>
      <c r="Q217" s="106"/>
      <c r="R217" s="106"/>
      <c r="S217" s="106"/>
      <c r="T217" s="106"/>
      <c r="U217" s="106"/>
      <c r="V217" s="106"/>
      <c r="W217" s="106"/>
      <c r="X217" s="106"/>
      <c r="Y217" s="106"/>
      <c r="Z217" s="106"/>
      <c r="AA217" s="106"/>
      <c r="AB217" s="106"/>
      <c r="AC217" s="106"/>
    </row>
    <row r="218" spans="1:30" s="52" customFormat="1">
      <c r="A218" s="55"/>
      <c r="B218" s="96"/>
      <c r="C218" s="83"/>
      <c r="D218" s="83"/>
      <c r="E218" s="291"/>
      <c r="F218" s="83"/>
      <c r="G218" s="86"/>
      <c r="H218" s="86"/>
      <c r="I218" s="86"/>
      <c r="J218" s="106"/>
      <c r="K218" s="101"/>
      <c r="L218" s="101"/>
      <c r="M218" s="106"/>
      <c r="N218" s="106"/>
      <c r="O218" s="106"/>
      <c r="P218" s="106"/>
      <c r="Q218" s="106"/>
      <c r="R218" s="106"/>
      <c r="S218" s="106"/>
      <c r="T218" s="106"/>
      <c r="U218" s="106"/>
      <c r="V218" s="106"/>
      <c r="W218" s="106"/>
      <c r="X218" s="106"/>
      <c r="Y218" s="106"/>
      <c r="Z218" s="106"/>
      <c r="AA218" s="106"/>
      <c r="AB218" s="106"/>
      <c r="AC218" s="106"/>
    </row>
    <row r="219" spans="1:30" s="52" customFormat="1" ht="17.399999999999999">
      <c r="A219" s="55"/>
      <c r="B219" s="133" t="s">
        <v>51</v>
      </c>
      <c r="C219" s="133"/>
      <c r="D219" s="133"/>
      <c r="E219" s="133"/>
      <c r="F219" s="133"/>
      <c r="G219" s="86"/>
      <c r="H219" s="86"/>
      <c r="I219" s="86"/>
      <c r="J219" s="106"/>
      <c r="K219" s="101"/>
      <c r="L219" s="101"/>
      <c r="M219" s="106"/>
      <c r="N219" s="106"/>
      <c r="O219" s="106"/>
      <c r="P219" s="106"/>
      <c r="Q219" s="106"/>
      <c r="R219" s="106"/>
      <c r="S219" s="106"/>
      <c r="T219" s="106"/>
      <c r="U219" s="106"/>
      <c r="V219" s="106"/>
      <c r="W219" s="106"/>
      <c r="X219" s="106"/>
      <c r="Y219" s="106"/>
      <c r="Z219" s="106"/>
      <c r="AA219" s="106"/>
      <c r="AB219" s="106"/>
      <c r="AC219" s="106"/>
    </row>
    <row r="220" spans="1:30" s="52" customFormat="1" ht="25.2">
      <c r="A220" s="55"/>
      <c r="B220" s="93" t="s">
        <v>295</v>
      </c>
      <c r="C220" s="93" t="s">
        <v>105</v>
      </c>
      <c r="D220" s="93"/>
      <c r="E220" s="96" t="s">
        <v>107</v>
      </c>
      <c r="F220" s="92" t="s">
        <v>8</v>
      </c>
      <c r="G220" s="92" t="s">
        <v>50</v>
      </c>
      <c r="H220" s="92"/>
      <c r="I220" s="92"/>
      <c r="J220" s="442" t="str">
        <f t="shared" ref="J220:AC220" si="29">IF(AND(ISNUMBER(J127),ISNUMBER(J148)), J127*J148,"??")</f>
        <v>??</v>
      </c>
      <c r="K220" s="442" t="str">
        <f t="shared" si="29"/>
        <v>??</v>
      </c>
      <c r="L220" s="442" t="str">
        <f t="shared" si="29"/>
        <v>??</v>
      </c>
      <c r="M220" s="442" t="str">
        <f t="shared" si="29"/>
        <v>??</v>
      </c>
      <c r="N220" s="442" t="str">
        <f t="shared" si="29"/>
        <v>??</v>
      </c>
      <c r="O220" s="442" t="str">
        <f t="shared" si="29"/>
        <v>??</v>
      </c>
      <c r="P220" s="442" t="str">
        <f t="shared" si="29"/>
        <v>??</v>
      </c>
      <c r="Q220" s="442" t="str">
        <f t="shared" si="29"/>
        <v>??</v>
      </c>
      <c r="R220" s="442" t="str">
        <f t="shared" si="29"/>
        <v>??</v>
      </c>
      <c r="S220" s="442" t="str">
        <f t="shared" si="29"/>
        <v>??</v>
      </c>
      <c r="T220" s="442" t="str">
        <f t="shared" si="29"/>
        <v>??</v>
      </c>
      <c r="U220" s="442" t="str">
        <f t="shared" si="29"/>
        <v>??</v>
      </c>
      <c r="V220" s="442" t="str">
        <f t="shared" si="29"/>
        <v>??</v>
      </c>
      <c r="W220" s="442" t="str">
        <f t="shared" si="29"/>
        <v>??</v>
      </c>
      <c r="X220" s="442" t="str">
        <f t="shared" si="29"/>
        <v>??</v>
      </c>
      <c r="Y220" s="442" t="str">
        <f t="shared" si="29"/>
        <v>??</v>
      </c>
      <c r="Z220" s="442" t="str">
        <f t="shared" si="29"/>
        <v>??</v>
      </c>
      <c r="AA220" s="442" t="str">
        <f t="shared" si="29"/>
        <v>??</v>
      </c>
      <c r="AB220" s="442" t="str">
        <f t="shared" si="29"/>
        <v>??</v>
      </c>
      <c r="AC220" s="442" t="str">
        <f t="shared" si="29"/>
        <v>??</v>
      </c>
    </row>
    <row r="221" spans="1:30" s="55" customFormat="1" ht="12" customHeight="1">
      <c r="B221" s="96"/>
      <c r="C221" s="83"/>
      <c r="D221" s="83"/>
      <c r="E221" s="84"/>
      <c r="F221" s="83"/>
      <c r="G221" s="83"/>
      <c r="H221" s="83"/>
      <c r="I221" s="83"/>
      <c r="J221" s="83"/>
      <c r="K221" s="138"/>
      <c r="L221" s="106"/>
      <c r="M221" s="83"/>
      <c r="N221" s="106"/>
      <c r="O221" s="83"/>
      <c r="P221" s="83"/>
      <c r="Q221" s="83"/>
      <c r="R221" s="83"/>
      <c r="S221" s="83"/>
      <c r="T221" s="83"/>
      <c r="U221" s="83"/>
      <c r="V221" s="83"/>
      <c r="W221" s="83"/>
      <c r="X221" s="83"/>
      <c r="Y221" s="83"/>
      <c r="Z221" s="83"/>
      <c r="AA221" s="83"/>
      <c r="AB221" s="83"/>
      <c r="AC221" s="83"/>
    </row>
    <row r="222" spans="1:30" s="55" customFormat="1">
      <c r="B222" s="96"/>
      <c r="C222" s="91"/>
      <c r="D222" s="91"/>
      <c r="E222" s="139"/>
      <c r="F222" s="83"/>
      <c r="G222" s="83"/>
      <c r="H222" s="83"/>
      <c r="I222" s="83"/>
      <c r="J222" s="83"/>
      <c r="K222" s="106"/>
      <c r="L222" s="106"/>
      <c r="M222" s="83"/>
      <c r="N222" s="106"/>
      <c r="O222" s="83"/>
      <c r="P222" s="83"/>
      <c r="Q222" s="83"/>
      <c r="R222" s="83"/>
      <c r="S222" s="83"/>
      <c r="T222" s="83"/>
      <c r="U222" s="83"/>
      <c r="V222" s="83"/>
      <c r="W222" s="83"/>
      <c r="X222" s="83"/>
      <c r="Y222" s="83"/>
      <c r="Z222" s="83"/>
      <c r="AA222" s="83"/>
      <c r="AB222" s="83"/>
      <c r="AC222" s="83"/>
    </row>
    <row r="223" spans="1:30" s="52" customFormat="1">
      <c r="A223" s="55"/>
      <c r="B223" s="493" t="s">
        <v>12</v>
      </c>
      <c r="C223" s="493"/>
      <c r="D223" s="493"/>
      <c r="E223" s="493"/>
      <c r="F223" s="493"/>
      <c r="G223" s="493"/>
      <c r="H223" s="493"/>
      <c r="I223" s="493"/>
      <c r="J223" s="493"/>
      <c r="K223" s="493"/>
      <c r="L223" s="493"/>
      <c r="M223" s="493"/>
      <c r="N223" s="54"/>
    </row>
    <row r="224" spans="1:30" s="52" customFormat="1">
      <c r="B224" s="493"/>
      <c r="C224" s="493"/>
      <c r="D224" s="493"/>
      <c r="E224" s="493"/>
      <c r="F224" s="493"/>
      <c r="G224" s="493"/>
      <c r="H224" s="493"/>
      <c r="I224" s="493"/>
      <c r="J224" s="493"/>
      <c r="K224" s="493"/>
      <c r="L224" s="493"/>
      <c r="M224" s="493"/>
      <c r="N224" s="54"/>
    </row>
    <row r="225" spans="2:14" s="52" customFormat="1">
      <c r="B225" s="493"/>
      <c r="C225" s="493"/>
      <c r="D225" s="493"/>
      <c r="E225" s="493"/>
      <c r="F225" s="493"/>
      <c r="G225" s="493"/>
      <c r="H225" s="493"/>
      <c r="I225" s="493"/>
      <c r="J225" s="493"/>
      <c r="K225" s="493"/>
      <c r="L225" s="493"/>
      <c r="M225" s="493"/>
      <c r="N225" s="54"/>
    </row>
    <row r="226" spans="2:14" s="52" customFormat="1">
      <c r="M226" s="53"/>
      <c r="N226" s="54"/>
    </row>
    <row r="227" spans="2:14" s="52" customFormat="1">
      <c r="M227" s="53"/>
      <c r="N227" s="54"/>
    </row>
    <row r="228" spans="2:14" s="52" customFormat="1">
      <c r="M228" s="53"/>
      <c r="N228" s="54"/>
    </row>
    <row r="229" spans="2:14" s="52" customFormat="1">
      <c r="M229" s="53"/>
      <c r="N229" s="54"/>
    </row>
    <row r="230" spans="2:14" s="52" customFormat="1">
      <c r="M230" s="53"/>
      <c r="N230" s="54"/>
    </row>
    <row r="231" spans="2:14" s="52" customFormat="1">
      <c r="M231" s="53"/>
      <c r="N231" s="54"/>
    </row>
    <row r="232" spans="2:14" s="52" customFormat="1">
      <c r="M232" s="53"/>
      <c r="N232" s="54"/>
    </row>
    <row r="233" spans="2:14" s="52" customFormat="1">
      <c r="M233" s="53"/>
      <c r="N233" s="54"/>
    </row>
    <row r="234" spans="2:14" s="52" customFormat="1">
      <c r="M234" s="53"/>
      <c r="N234" s="54"/>
    </row>
    <row r="235" spans="2:14" s="52" customFormat="1">
      <c r="M235" s="53"/>
      <c r="N235" s="54"/>
    </row>
    <row r="236" spans="2:14" s="52" customFormat="1">
      <c r="M236" s="53"/>
      <c r="N236" s="54"/>
    </row>
    <row r="237" spans="2:14" s="52" customFormat="1">
      <c r="M237" s="53"/>
      <c r="N237" s="54"/>
    </row>
    <row r="238" spans="2:14" s="52" customFormat="1">
      <c r="M238" s="53"/>
      <c r="N238" s="54"/>
    </row>
    <row r="239" spans="2:14" s="52" customFormat="1">
      <c r="M239" s="53"/>
      <c r="N239" s="54"/>
    </row>
    <row r="240" spans="2:14" s="52" customFormat="1">
      <c r="M240" s="53"/>
      <c r="N240" s="54"/>
    </row>
    <row r="241" spans="13:14" s="52" customFormat="1">
      <c r="M241" s="53"/>
      <c r="N241" s="54"/>
    </row>
    <row r="242" spans="13:14" s="52" customFormat="1">
      <c r="M242" s="53"/>
      <c r="N242" s="54"/>
    </row>
    <row r="243" spans="13:14" s="52" customFormat="1">
      <c r="M243" s="53"/>
      <c r="N243" s="54"/>
    </row>
    <row r="244" spans="13:14" s="52" customFormat="1">
      <c r="M244" s="53"/>
      <c r="N244" s="54"/>
    </row>
    <row r="245" spans="13:14" s="52" customFormat="1">
      <c r="M245" s="53"/>
      <c r="N245" s="54"/>
    </row>
    <row r="246" spans="13:14" s="52" customFormat="1">
      <c r="M246" s="53"/>
      <c r="N246" s="54"/>
    </row>
    <row r="247" spans="13:14" s="52" customFormat="1">
      <c r="M247" s="53"/>
      <c r="N247" s="54"/>
    </row>
    <row r="248" spans="13:14" s="52" customFormat="1">
      <c r="M248" s="53"/>
      <c r="N248" s="54"/>
    </row>
    <row r="249" spans="13:14" s="52" customFormat="1">
      <c r="M249" s="53"/>
      <c r="N249" s="54"/>
    </row>
    <row r="250" spans="13:14" s="52" customFormat="1">
      <c r="M250" s="53"/>
      <c r="N250" s="54"/>
    </row>
    <row r="251" spans="13:14" s="52" customFormat="1">
      <c r="M251" s="53"/>
      <c r="N251" s="54"/>
    </row>
    <row r="252" spans="13:14" s="52" customFormat="1">
      <c r="M252" s="53"/>
      <c r="N252" s="54"/>
    </row>
    <row r="253" spans="13:14" s="52" customFormat="1">
      <c r="M253" s="53"/>
      <c r="N253" s="54"/>
    </row>
    <row r="254" spans="13:14" s="52" customFormat="1">
      <c r="M254" s="53"/>
      <c r="N254" s="54"/>
    </row>
    <row r="255" spans="13:14" s="52" customFormat="1">
      <c r="M255" s="53"/>
      <c r="N255" s="54"/>
    </row>
    <row r="256" spans="13:14" s="52" customFormat="1">
      <c r="M256" s="53"/>
      <c r="N256" s="54"/>
    </row>
    <row r="257" spans="13:14" s="52" customFormat="1">
      <c r="M257" s="53"/>
      <c r="N257" s="54"/>
    </row>
    <row r="258" spans="13:14" s="52" customFormat="1">
      <c r="M258" s="53"/>
      <c r="N258" s="54"/>
    </row>
    <row r="259" spans="13:14" s="52" customFormat="1">
      <c r="M259" s="53"/>
      <c r="N259" s="54"/>
    </row>
    <row r="260" spans="13:14" s="52" customFormat="1">
      <c r="M260" s="53"/>
      <c r="N260" s="54"/>
    </row>
    <row r="261" spans="13:14" s="52" customFormat="1">
      <c r="M261" s="53"/>
      <c r="N261" s="54"/>
    </row>
    <row r="262" spans="13:14" s="52" customFormat="1">
      <c r="M262" s="53"/>
      <c r="N262" s="54"/>
    </row>
    <row r="263" spans="13:14" s="52" customFormat="1">
      <c r="M263" s="53"/>
      <c r="N263" s="54"/>
    </row>
    <row r="264" spans="13:14" s="52" customFormat="1">
      <c r="M264" s="53"/>
      <c r="N264" s="54"/>
    </row>
    <row r="265" spans="13:14" s="52" customFormat="1">
      <c r="M265" s="53"/>
      <c r="N265" s="54"/>
    </row>
    <row r="266" spans="13:14" s="52" customFormat="1">
      <c r="M266" s="53"/>
      <c r="N266" s="54"/>
    </row>
    <row r="267" spans="13:14" s="52" customFormat="1">
      <c r="M267" s="53"/>
      <c r="N267" s="54"/>
    </row>
    <row r="268" spans="13:14" s="52" customFormat="1">
      <c r="M268" s="53"/>
      <c r="N268" s="54"/>
    </row>
    <row r="269" spans="13:14" s="52" customFormat="1">
      <c r="M269" s="53"/>
      <c r="N269" s="54"/>
    </row>
    <row r="270" spans="13:14" s="52" customFormat="1">
      <c r="M270" s="53"/>
      <c r="N270" s="54"/>
    </row>
    <row r="271" spans="13:14" s="52" customFormat="1">
      <c r="M271" s="53"/>
      <c r="N271" s="54"/>
    </row>
    <row r="272" spans="13:14" s="52" customFormat="1">
      <c r="M272" s="53"/>
      <c r="N272" s="54"/>
    </row>
    <row r="273" spans="13:14" s="52" customFormat="1">
      <c r="M273" s="53"/>
      <c r="N273" s="54"/>
    </row>
    <row r="274" spans="13:14" s="52" customFormat="1">
      <c r="M274" s="53"/>
      <c r="N274" s="54"/>
    </row>
    <row r="275" spans="13:14" s="52" customFormat="1">
      <c r="M275" s="53"/>
      <c r="N275" s="54"/>
    </row>
    <row r="276" spans="13:14" s="52" customFormat="1">
      <c r="M276" s="53"/>
      <c r="N276" s="54"/>
    </row>
    <row r="277" spans="13:14" s="52" customFormat="1">
      <c r="M277" s="53"/>
      <c r="N277" s="54"/>
    </row>
    <row r="278" spans="13:14" s="52" customFormat="1">
      <c r="M278" s="53"/>
      <c r="N278" s="54"/>
    </row>
    <row r="279" spans="13:14" s="52" customFormat="1">
      <c r="M279" s="53"/>
      <c r="N279" s="54"/>
    </row>
    <row r="280" spans="13:14" s="52" customFormat="1">
      <c r="M280" s="53"/>
      <c r="N280" s="54"/>
    </row>
    <row r="281" spans="13:14" s="52" customFormat="1">
      <c r="M281" s="53"/>
      <c r="N281" s="54"/>
    </row>
    <row r="282" spans="13:14" s="52" customFormat="1">
      <c r="M282" s="53"/>
      <c r="N282" s="54"/>
    </row>
    <row r="283" spans="13:14" s="52" customFormat="1">
      <c r="M283" s="53"/>
      <c r="N283" s="54"/>
    </row>
    <row r="284" spans="13:14" s="52" customFormat="1">
      <c r="M284" s="53"/>
      <c r="N284" s="54"/>
    </row>
    <row r="285" spans="13:14" s="52" customFormat="1">
      <c r="M285" s="53"/>
      <c r="N285" s="54"/>
    </row>
    <row r="286" spans="13:14" s="52" customFormat="1">
      <c r="M286" s="53"/>
      <c r="N286" s="54"/>
    </row>
    <row r="287" spans="13:14" s="52" customFormat="1">
      <c r="M287" s="53"/>
      <c r="N287" s="54"/>
    </row>
    <row r="288" spans="13:14" s="52" customFormat="1">
      <c r="M288" s="53"/>
      <c r="N288" s="54"/>
    </row>
    <row r="289" spans="13:14" s="52" customFormat="1">
      <c r="M289" s="53"/>
      <c r="N289" s="54"/>
    </row>
    <row r="290" spans="13:14" s="52" customFormat="1">
      <c r="M290" s="53"/>
      <c r="N290" s="54"/>
    </row>
    <row r="291" spans="13:14" s="52" customFormat="1">
      <c r="M291" s="53"/>
      <c r="N291" s="54"/>
    </row>
    <row r="292" spans="13:14" s="52" customFormat="1">
      <c r="M292" s="53"/>
      <c r="N292" s="54"/>
    </row>
    <row r="293" spans="13:14" s="52" customFormat="1">
      <c r="M293" s="53"/>
      <c r="N293" s="54"/>
    </row>
    <row r="294" spans="13:14" s="52" customFormat="1">
      <c r="M294" s="53"/>
      <c r="N294" s="54"/>
    </row>
    <row r="295" spans="13:14" s="52" customFormat="1">
      <c r="M295" s="53"/>
      <c r="N295" s="54"/>
    </row>
    <row r="296" spans="13:14" s="52" customFormat="1">
      <c r="M296" s="53"/>
      <c r="N296" s="54"/>
    </row>
    <row r="297" spans="13:14" s="52" customFormat="1">
      <c r="M297" s="53"/>
      <c r="N297" s="54"/>
    </row>
    <row r="298" spans="13:14" s="52" customFormat="1">
      <c r="M298" s="53"/>
      <c r="N298" s="54"/>
    </row>
    <row r="299" spans="13:14" s="52" customFormat="1">
      <c r="M299" s="53"/>
      <c r="N299" s="54"/>
    </row>
    <row r="300" spans="13:14" s="52" customFormat="1">
      <c r="M300" s="53"/>
      <c r="N300" s="54"/>
    </row>
    <row r="301" spans="13:14" s="52" customFormat="1">
      <c r="M301" s="53"/>
      <c r="N301" s="54"/>
    </row>
    <row r="302" spans="13:14" s="52" customFormat="1">
      <c r="M302" s="53"/>
      <c r="N302" s="54"/>
    </row>
    <row r="303" spans="13:14" s="52" customFormat="1">
      <c r="M303" s="53"/>
      <c r="N303" s="54"/>
    </row>
    <row r="304" spans="13:14" s="52" customFormat="1">
      <c r="M304" s="53"/>
      <c r="N304" s="54"/>
    </row>
    <row r="305" spans="13:14" s="52" customFormat="1">
      <c r="M305" s="53"/>
      <c r="N305" s="54"/>
    </row>
    <row r="306" spans="13:14" s="52" customFormat="1">
      <c r="M306" s="53"/>
      <c r="N306" s="54"/>
    </row>
    <row r="307" spans="13:14" s="52" customFormat="1">
      <c r="M307" s="53"/>
      <c r="N307" s="54"/>
    </row>
    <row r="308" spans="13:14" s="52" customFormat="1">
      <c r="M308" s="53"/>
      <c r="N308" s="54"/>
    </row>
    <row r="309" spans="13:14" s="52" customFormat="1">
      <c r="M309" s="53"/>
      <c r="N309" s="54"/>
    </row>
    <row r="310" spans="13:14" s="52" customFormat="1">
      <c r="M310" s="53"/>
      <c r="N310" s="54"/>
    </row>
    <row r="311" spans="13:14" s="52" customFormat="1">
      <c r="M311" s="53"/>
      <c r="N311" s="54"/>
    </row>
    <row r="312" spans="13:14" s="52" customFormat="1">
      <c r="M312" s="53"/>
      <c r="N312" s="54"/>
    </row>
    <row r="313" spans="13:14" s="52" customFormat="1">
      <c r="M313" s="53"/>
      <c r="N313" s="54"/>
    </row>
    <row r="314" spans="13:14" s="52" customFormat="1">
      <c r="M314" s="53"/>
      <c r="N314" s="54"/>
    </row>
    <row r="315" spans="13:14" s="52" customFormat="1">
      <c r="M315" s="53"/>
      <c r="N315" s="54"/>
    </row>
    <row r="316" spans="13:14" s="52" customFormat="1">
      <c r="M316" s="53"/>
      <c r="N316" s="54"/>
    </row>
    <row r="317" spans="13:14" s="52" customFormat="1">
      <c r="M317" s="53"/>
      <c r="N317" s="54"/>
    </row>
    <row r="318" spans="13:14" s="52" customFormat="1">
      <c r="M318" s="53"/>
      <c r="N318" s="54"/>
    </row>
    <row r="319" spans="13:14" s="52" customFormat="1">
      <c r="M319" s="53"/>
      <c r="N319" s="54"/>
    </row>
    <row r="320" spans="13:14" s="52" customFormat="1">
      <c r="M320" s="53"/>
      <c r="N320" s="54"/>
    </row>
    <row r="321" spans="13:14" s="52" customFormat="1">
      <c r="M321" s="53"/>
      <c r="N321" s="54"/>
    </row>
    <row r="322" spans="13:14" s="52" customFormat="1">
      <c r="M322" s="53"/>
      <c r="N322" s="54"/>
    </row>
    <row r="323" spans="13:14" s="52" customFormat="1">
      <c r="M323" s="53"/>
      <c r="N323" s="54"/>
    </row>
    <row r="324" spans="13:14" s="52" customFormat="1">
      <c r="M324" s="53"/>
      <c r="N324" s="54"/>
    </row>
    <row r="325" spans="13:14" s="52" customFormat="1">
      <c r="M325" s="53"/>
      <c r="N325" s="54"/>
    </row>
    <row r="326" spans="13:14" s="52" customFormat="1">
      <c r="M326" s="53"/>
      <c r="N326" s="54"/>
    </row>
    <row r="327" spans="13:14" s="52" customFormat="1">
      <c r="M327" s="53"/>
      <c r="N327" s="54"/>
    </row>
    <row r="328" spans="13:14" s="52" customFormat="1">
      <c r="M328" s="53"/>
      <c r="N328" s="54"/>
    </row>
    <row r="329" spans="13:14" s="52" customFormat="1">
      <c r="M329" s="53"/>
      <c r="N329" s="54"/>
    </row>
    <row r="330" spans="13:14" s="52" customFormat="1">
      <c r="M330" s="53"/>
      <c r="N330" s="54"/>
    </row>
    <row r="331" spans="13:14" s="52" customFormat="1">
      <c r="M331" s="53"/>
      <c r="N331" s="54"/>
    </row>
    <row r="332" spans="13:14" s="52" customFormat="1">
      <c r="M332" s="53"/>
      <c r="N332" s="54"/>
    </row>
    <row r="333" spans="13:14" s="52" customFormat="1">
      <c r="M333" s="53"/>
      <c r="N333" s="54"/>
    </row>
    <row r="334" spans="13:14" s="52" customFormat="1">
      <c r="M334" s="53"/>
      <c r="N334" s="54"/>
    </row>
    <row r="335" spans="13:14" s="52" customFormat="1">
      <c r="M335" s="53"/>
      <c r="N335" s="54"/>
    </row>
    <row r="336" spans="13:14" s="52" customFormat="1">
      <c r="M336" s="53"/>
      <c r="N336" s="54"/>
    </row>
    <row r="337" spans="13:14" s="52" customFormat="1">
      <c r="M337" s="53"/>
      <c r="N337" s="54"/>
    </row>
    <row r="338" spans="13:14" s="52" customFormat="1">
      <c r="M338" s="53"/>
      <c r="N338" s="54"/>
    </row>
    <row r="339" spans="13:14" s="52" customFormat="1">
      <c r="M339" s="53"/>
      <c r="N339" s="54"/>
    </row>
    <row r="340" spans="13:14" s="52" customFormat="1">
      <c r="M340" s="53"/>
      <c r="N340" s="54"/>
    </row>
    <row r="341" spans="13:14" s="52" customFormat="1">
      <c r="M341" s="53"/>
      <c r="N341" s="54"/>
    </row>
    <row r="342" spans="13:14" s="52" customFormat="1">
      <c r="M342" s="53"/>
      <c r="N342" s="54"/>
    </row>
    <row r="343" spans="13:14" s="52" customFormat="1">
      <c r="M343" s="53"/>
      <c r="N343" s="54"/>
    </row>
    <row r="344" spans="13:14" s="52" customFormat="1">
      <c r="M344" s="53"/>
      <c r="N344" s="54"/>
    </row>
    <row r="345" spans="13:14" s="52" customFormat="1">
      <c r="M345" s="53"/>
      <c r="N345" s="54"/>
    </row>
    <row r="346" spans="13:14" s="52" customFormat="1">
      <c r="M346" s="53"/>
      <c r="N346" s="54"/>
    </row>
    <row r="347" spans="13:14" s="52" customFormat="1">
      <c r="M347" s="53"/>
      <c r="N347" s="54"/>
    </row>
    <row r="348" spans="13:14" s="52" customFormat="1">
      <c r="M348" s="53"/>
      <c r="N348" s="54"/>
    </row>
    <row r="349" spans="13:14" s="52" customFormat="1">
      <c r="M349" s="53"/>
      <c r="N349" s="54"/>
    </row>
    <row r="350" spans="13:14" s="52" customFormat="1">
      <c r="M350" s="53"/>
      <c r="N350" s="54"/>
    </row>
    <row r="351" spans="13:14" s="52" customFormat="1">
      <c r="M351" s="53"/>
      <c r="N351" s="54"/>
    </row>
    <row r="352" spans="13:14" s="52" customFormat="1">
      <c r="M352" s="53"/>
      <c r="N352" s="54"/>
    </row>
    <row r="353" spans="13:14" s="52" customFormat="1">
      <c r="M353" s="53"/>
      <c r="N353" s="54"/>
    </row>
    <row r="354" spans="13:14" s="52" customFormat="1">
      <c r="M354" s="53"/>
      <c r="N354" s="54"/>
    </row>
    <row r="355" spans="13:14" s="52" customFormat="1">
      <c r="M355" s="53"/>
      <c r="N355" s="54"/>
    </row>
    <row r="356" spans="13:14" s="52" customFormat="1">
      <c r="M356" s="53"/>
      <c r="N356" s="54"/>
    </row>
    <row r="357" spans="13:14" s="52" customFormat="1">
      <c r="M357" s="53"/>
      <c r="N357" s="54"/>
    </row>
    <row r="358" spans="13:14" s="52" customFormat="1">
      <c r="M358" s="53"/>
      <c r="N358" s="54"/>
    </row>
    <row r="359" spans="13:14" s="52" customFormat="1">
      <c r="M359" s="53"/>
      <c r="N359" s="54"/>
    </row>
    <row r="360" spans="13:14" s="52" customFormat="1">
      <c r="M360" s="53"/>
      <c r="N360" s="54"/>
    </row>
    <row r="361" spans="13:14" s="52" customFormat="1">
      <c r="M361" s="53"/>
      <c r="N361" s="54"/>
    </row>
    <row r="362" spans="13:14" s="52" customFormat="1">
      <c r="M362" s="53"/>
      <c r="N362" s="54"/>
    </row>
    <row r="363" spans="13:14" s="52" customFormat="1">
      <c r="M363" s="53"/>
      <c r="N363" s="54"/>
    </row>
    <row r="364" spans="13:14" s="52" customFormat="1">
      <c r="M364" s="53"/>
      <c r="N364" s="54"/>
    </row>
    <row r="365" spans="13:14" s="52" customFormat="1">
      <c r="M365" s="53"/>
      <c r="N365" s="54"/>
    </row>
    <row r="366" spans="13:14" s="52" customFormat="1">
      <c r="M366" s="53"/>
      <c r="N366" s="54"/>
    </row>
    <row r="367" spans="13:14" s="52" customFormat="1">
      <c r="M367" s="53"/>
      <c r="N367" s="54"/>
    </row>
    <row r="368" spans="13:14" s="52" customFormat="1">
      <c r="M368" s="53"/>
      <c r="N368" s="54"/>
    </row>
    <row r="369" spans="13:14" s="52" customFormat="1">
      <c r="M369" s="53"/>
      <c r="N369" s="54"/>
    </row>
    <row r="370" spans="13:14" s="52" customFormat="1">
      <c r="M370" s="53"/>
      <c r="N370" s="54"/>
    </row>
    <row r="371" spans="13:14" s="52" customFormat="1">
      <c r="M371" s="53"/>
      <c r="N371" s="54"/>
    </row>
    <row r="372" spans="13:14" s="52" customFormat="1">
      <c r="M372" s="53"/>
      <c r="N372" s="54"/>
    </row>
    <row r="373" spans="13:14" s="52" customFormat="1">
      <c r="M373" s="53"/>
      <c r="N373" s="54"/>
    </row>
    <row r="374" spans="13:14" s="52" customFormat="1">
      <c r="M374" s="53"/>
      <c r="N374" s="54"/>
    </row>
    <row r="375" spans="13:14" s="52" customFormat="1">
      <c r="M375" s="53"/>
      <c r="N375" s="54"/>
    </row>
    <row r="376" spans="13:14" s="52" customFormat="1">
      <c r="M376" s="53"/>
      <c r="N376" s="54"/>
    </row>
    <row r="377" spans="13:14" s="52" customFormat="1">
      <c r="M377" s="53"/>
      <c r="N377" s="54"/>
    </row>
    <row r="378" spans="13:14" s="52" customFormat="1">
      <c r="M378" s="53"/>
      <c r="N378" s="54"/>
    </row>
    <row r="379" spans="13:14" s="52" customFormat="1">
      <c r="M379" s="53"/>
      <c r="N379" s="54"/>
    </row>
    <row r="380" spans="13:14" s="52" customFormat="1">
      <c r="M380" s="53"/>
      <c r="N380" s="54"/>
    </row>
    <row r="381" spans="13:14" s="52" customFormat="1">
      <c r="M381" s="53"/>
      <c r="N381" s="54"/>
    </row>
    <row r="382" spans="13:14" s="52" customFormat="1">
      <c r="M382" s="53"/>
      <c r="N382" s="54"/>
    </row>
    <row r="383" spans="13:14" s="52" customFormat="1">
      <c r="M383" s="53"/>
      <c r="N383" s="54"/>
    </row>
    <row r="384" spans="13:14" s="52" customFormat="1">
      <c r="M384" s="53"/>
      <c r="N384" s="54"/>
    </row>
    <row r="385" spans="13:14" s="52" customFormat="1">
      <c r="M385" s="53"/>
      <c r="N385" s="54"/>
    </row>
    <row r="386" spans="13:14" s="52" customFormat="1">
      <c r="M386" s="53"/>
      <c r="N386" s="54"/>
    </row>
    <row r="387" spans="13:14" s="52" customFormat="1">
      <c r="M387" s="53"/>
      <c r="N387" s="54"/>
    </row>
    <row r="388" spans="13:14" s="52" customFormat="1">
      <c r="M388" s="53"/>
      <c r="N388" s="54"/>
    </row>
    <row r="389" spans="13:14" s="52" customFormat="1">
      <c r="M389" s="53"/>
      <c r="N389" s="54"/>
    </row>
    <row r="390" spans="13:14" s="52" customFormat="1">
      <c r="M390" s="53"/>
      <c r="N390" s="54"/>
    </row>
    <row r="391" spans="13:14" s="52" customFormat="1">
      <c r="M391" s="53"/>
      <c r="N391" s="54"/>
    </row>
    <row r="392" spans="13:14" s="52" customFormat="1">
      <c r="M392" s="53"/>
      <c r="N392" s="54"/>
    </row>
    <row r="393" spans="13:14" s="52" customFormat="1">
      <c r="M393" s="53"/>
      <c r="N393" s="54"/>
    </row>
    <row r="394" spans="13:14" s="52" customFormat="1">
      <c r="M394" s="53"/>
      <c r="N394" s="54"/>
    </row>
    <row r="395" spans="13:14" s="52" customFormat="1">
      <c r="M395" s="53"/>
      <c r="N395" s="54"/>
    </row>
    <row r="396" spans="13:14" s="52" customFormat="1">
      <c r="M396" s="53"/>
      <c r="N396" s="54"/>
    </row>
    <row r="397" spans="13:14" s="52" customFormat="1">
      <c r="M397" s="53"/>
      <c r="N397" s="54"/>
    </row>
    <row r="398" spans="13:14" s="52" customFormat="1">
      <c r="M398" s="53"/>
      <c r="N398" s="54"/>
    </row>
    <row r="399" spans="13:14" s="52" customFormat="1">
      <c r="M399" s="53"/>
      <c r="N399" s="54"/>
    </row>
    <row r="400" spans="13:14" s="52" customFormat="1">
      <c r="M400" s="53"/>
      <c r="N400" s="54"/>
    </row>
    <row r="401" spans="13:14" s="52" customFormat="1">
      <c r="M401" s="53"/>
      <c r="N401" s="54"/>
    </row>
    <row r="402" spans="13:14" s="52" customFormat="1">
      <c r="M402" s="53"/>
      <c r="N402" s="54"/>
    </row>
    <row r="403" spans="13:14" s="52" customFormat="1">
      <c r="M403" s="53"/>
      <c r="N403" s="54"/>
    </row>
    <row r="404" spans="13:14" s="52" customFormat="1">
      <c r="M404" s="53"/>
      <c r="N404" s="54"/>
    </row>
    <row r="405" spans="13:14" s="52" customFormat="1">
      <c r="M405" s="53"/>
      <c r="N405" s="54"/>
    </row>
    <row r="406" spans="13:14" s="52" customFormat="1">
      <c r="M406" s="53"/>
      <c r="N406" s="54"/>
    </row>
    <row r="407" spans="13:14" s="52" customFormat="1">
      <c r="M407" s="53"/>
      <c r="N407" s="54"/>
    </row>
    <row r="408" spans="13:14" s="52" customFormat="1">
      <c r="M408" s="53"/>
      <c r="N408" s="54"/>
    </row>
    <row r="409" spans="13:14" s="52" customFormat="1">
      <c r="M409" s="53"/>
      <c r="N409" s="54"/>
    </row>
    <row r="410" spans="13:14" s="52" customFormat="1">
      <c r="M410" s="53"/>
      <c r="N410" s="54"/>
    </row>
    <row r="411" spans="13:14" s="52" customFormat="1">
      <c r="M411" s="53"/>
      <c r="N411" s="54"/>
    </row>
    <row r="412" spans="13:14" s="52" customFormat="1">
      <c r="M412" s="53"/>
      <c r="N412" s="54"/>
    </row>
    <row r="413" spans="13:14" s="52" customFormat="1">
      <c r="M413" s="53"/>
      <c r="N413" s="54"/>
    </row>
    <row r="414" spans="13:14" s="52" customFormat="1">
      <c r="M414" s="53"/>
      <c r="N414" s="54"/>
    </row>
    <row r="415" spans="13:14" s="52" customFormat="1">
      <c r="M415" s="53"/>
      <c r="N415" s="54"/>
    </row>
    <row r="416" spans="13:14" s="52" customFormat="1">
      <c r="M416" s="53"/>
      <c r="N416" s="54"/>
    </row>
    <row r="417" spans="13:14" s="52" customFormat="1">
      <c r="M417" s="53"/>
      <c r="N417" s="54"/>
    </row>
    <row r="418" spans="13:14" s="52" customFormat="1">
      <c r="M418" s="53"/>
      <c r="N418" s="54"/>
    </row>
    <row r="419" spans="13:14" s="52" customFormat="1">
      <c r="M419" s="53"/>
      <c r="N419" s="54"/>
    </row>
    <row r="420" spans="13:14" s="52" customFormat="1">
      <c r="M420" s="53"/>
      <c r="N420" s="54"/>
    </row>
    <row r="421" spans="13:14" s="52" customFormat="1">
      <c r="M421" s="53"/>
      <c r="N421" s="54"/>
    </row>
    <row r="422" spans="13:14" s="52" customFormat="1">
      <c r="M422" s="53"/>
      <c r="N422" s="54"/>
    </row>
    <row r="423" spans="13:14" s="52" customFormat="1">
      <c r="M423" s="53"/>
      <c r="N423" s="54"/>
    </row>
    <row r="424" spans="13:14" s="52" customFormat="1">
      <c r="M424" s="53"/>
      <c r="N424" s="54"/>
    </row>
    <row r="425" spans="13:14" s="52" customFormat="1">
      <c r="M425" s="53"/>
      <c r="N425" s="54"/>
    </row>
    <row r="426" spans="13:14" s="52" customFormat="1">
      <c r="M426" s="53"/>
      <c r="N426" s="54"/>
    </row>
    <row r="427" spans="13:14" s="52" customFormat="1">
      <c r="M427" s="53"/>
      <c r="N427" s="54"/>
    </row>
    <row r="428" spans="13:14" s="52" customFormat="1">
      <c r="M428" s="53"/>
      <c r="N428" s="54"/>
    </row>
    <row r="429" spans="13:14" s="52" customFormat="1">
      <c r="M429" s="53"/>
      <c r="N429" s="54"/>
    </row>
    <row r="430" spans="13:14" s="52" customFormat="1">
      <c r="M430" s="53"/>
      <c r="N430" s="54"/>
    </row>
    <row r="431" spans="13:14" s="52" customFormat="1">
      <c r="M431" s="53"/>
      <c r="N431" s="54"/>
    </row>
    <row r="432" spans="13:14" s="52" customFormat="1">
      <c r="M432" s="53"/>
      <c r="N432" s="54"/>
    </row>
    <row r="433" spans="13:14" s="52" customFormat="1">
      <c r="M433" s="53"/>
      <c r="N433" s="54"/>
    </row>
    <row r="434" spans="13:14" s="52" customFormat="1">
      <c r="M434" s="53"/>
      <c r="N434" s="54"/>
    </row>
    <row r="435" spans="13:14" s="52" customFormat="1">
      <c r="M435" s="53"/>
      <c r="N435" s="54"/>
    </row>
    <row r="436" spans="13:14" s="52" customFormat="1">
      <c r="M436" s="53"/>
      <c r="N436" s="54"/>
    </row>
    <row r="437" spans="13:14" s="52" customFormat="1">
      <c r="M437" s="53"/>
      <c r="N437" s="54"/>
    </row>
    <row r="438" spans="13:14" s="52" customFormat="1">
      <c r="M438" s="53"/>
      <c r="N438" s="54"/>
    </row>
    <row r="439" spans="13:14" s="52" customFormat="1">
      <c r="M439" s="53"/>
      <c r="N439" s="54"/>
    </row>
    <row r="440" spans="13:14" s="52" customFormat="1">
      <c r="M440" s="53"/>
      <c r="N440" s="54"/>
    </row>
    <row r="441" spans="13:14" s="52" customFormat="1">
      <c r="M441" s="53"/>
      <c r="N441" s="54"/>
    </row>
    <row r="442" spans="13:14" s="52" customFormat="1">
      <c r="M442" s="53"/>
      <c r="N442" s="54"/>
    </row>
    <row r="443" spans="13:14" s="52" customFormat="1">
      <c r="M443" s="53"/>
      <c r="N443" s="54"/>
    </row>
    <row r="444" spans="13:14" s="52" customFormat="1">
      <c r="M444" s="53"/>
      <c r="N444" s="54"/>
    </row>
    <row r="445" spans="13:14" s="52" customFormat="1">
      <c r="M445" s="53"/>
      <c r="N445" s="54"/>
    </row>
    <row r="446" spans="13:14" s="52" customFormat="1">
      <c r="M446" s="53"/>
      <c r="N446" s="54"/>
    </row>
    <row r="447" spans="13:14" s="52" customFormat="1">
      <c r="M447" s="53"/>
      <c r="N447" s="54"/>
    </row>
    <row r="448" spans="13:14" s="52" customFormat="1">
      <c r="M448" s="53"/>
      <c r="N448" s="54"/>
    </row>
    <row r="449" spans="13:122" s="52" customFormat="1">
      <c r="M449" s="53"/>
      <c r="N449" s="54"/>
    </row>
    <row r="450" spans="13:122" s="52" customFormat="1">
      <c r="M450" s="53"/>
      <c r="N450" s="54"/>
    </row>
    <row r="451" spans="13:122" s="52" customFormat="1">
      <c r="M451" s="53"/>
      <c r="N451" s="54"/>
    </row>
    <row r="452" spans="13:122" s="52" customFormat="1">
      <c r="M452" s="53"/>
      <c r="N452" s="54"/>
    </row>
    <row r="453" spans="13:122" s="52" customFormat="1">
      <c r="M453" s="53"/>
      <c r="N453" s="54"/>
    </row>
    <row r="454" spans="13:122" s="52" customFormat="1">
      <c r="M454" s="53"/>
      <c r="N454" s="54"/>
    </row>
    <row r="455" spans="13:122" s="52" customFormat="1">
      <c r="M455" s="53"/>
      <c r="N455" s="54"/>
    </row>
    <row r="456" spans="13:122" s="52" customFormat="1">
      <c r="M456" s="53"/>
      <c r="N456" s="54"/>
    </row>
    <row r="457" spans="13:122" s="52" customFormat="1">
      <c r="M457" s="53"/>
      <c r="N457" s="54"/>
    </row>
    <row r="458" spans="13:122" s="52" customFormat="1">
      <c r="M458" s="53"/>
      <c r="N458" s="54"/>
    </row>
    <row r="459" spans="13:122" s="52" customFormat="1">
      <c r="M459" s="53"/>
      <c r="N459" s="54"/>
    </row>
    <row r="460" spans="13:122" s="52" customFormat="1">
      <c r="M460" s="53"/>
      <c r="N460" s="54"/>
    </row>
    <row r="461" spans="13:122" s="52" customFormat="1">
      <c r="M461" s="53"/>
      <c r="N461" s="54"/>
    </row>
    <row r="462" spans="13:122" s="52" customFormat="1">
      <c r="M462" s="53"/>
      <c r="N462" s="54"/>
    </row>
    <row r="463" spans="13:122" s="52" customFormat="1">
      <c r="M463" s="53"/>
      <c r="N463" s="54"/>
      <c r="DQ463" s="58"/>
      <c r="DR463" s="58"/>
    </row>
  </sheetData>
  <sheetProtection algorithmName="SHA-512" hashValue="MfNqILi0CCCvwraTZCRCaJNbH9ametWF33n4MYKzAQvwjQ/HO14AgnudyOK9w1qQX7ytq2F690/3IbYrksmUAQ==" saltValue="6bYpunamK8H448ghCaupyw==" spinCount="100000" sheet="1" formatCells="0" formatColumns="0" formatRows="0"/>
  <mergeCells count="15">
    <mergeCell ref="B171:J171"/>
    <mergeCell ref="B2:E2"/>
    <mergeCell ref="B4:G4"/>
    <mergeCell ref="B225:M225"/>
    <mergeCell ref="B150:C150"/>
    <mergeCell ref="B223:M223"/>
    <mergeCell ref="B224:M224"/>
    <mergeCell ref="B40:E40"/>
    <mergeCell ref="B10:H10"/>
    <mergeCell ref="B12:H12"/>
    <mergeCell ref="B22:H22"/>
    <mergeCell ref="B23:J23"/>
    <mergeCell ref="B24:J24"/>
    <mergeCell ref="B27:J27"/>
    <mergeCell ref="B18:J18"/>
  </mergeCells>
  <dataValidations count="7">
    <dataValidation type="list" allowBlank="1" showInputMessage="1" showErrorMessage="1" sqref="E123" xr:uid="{A7F95B9F-8571-46AE-B89B-4AC13D53F568}">
      <formula1>Select_area</formula1>
    </dataValidation>
    <dataValidation type="list" allowBlank="1" showInputMessage="1" showErrorMessage="1" sqref="I37" xr:uid="{6CC3D9E1-B90D-4AB4-8797-8093864653BB}">
      <formula1>appway</formula1>
    </dataValidation>
    <dataValidation type="list" allowBlank="1" showDropDown="1" showInputMessage="1" showErrorMessage="1" sqref="AC121:AC122 AC145" xr:uid="{AEAE632C-EE67-4B9D-BB06-345AB78F2330}">
      <formula1>Product</formula1>
    </dataValidation>
    <dataValidation type="list" allowBlank="1" showInputMessage="1" showErrorMessage="1" sqref="G50" xr:uid="{B2350DD8-FD78-41B5-AEA2-3CCEC6D1E70C}">
      <formula1>Select_units</formula1>
    </dataValidation>
    <dataValidation type="list" allowBlank="1" showInputMessage="1" showErrorMessage="1" sqref="G39" xr:uid="{727EC16F-392A-45AE-BA7D-4EA9943941B1}">
      <formula1>units</formula1>
    </dataValidation>
    <dataValidation type="list" allowBlank="1" showInputMessage="1" showErrorMessage="1" sqref="G44" xr:uid="{BBCFDC63-CE22-44F4-823F-829CC357B083}">
      <formula1>units_L</formula1>
    </dataValidation>
    <dataValidation type="list" allowBlank="1" showInputMessage="1" showErrorMessage="1" sqref="C123" xr:uid="{32746057-FE11-4607-84EE-3F0F6B37D7BF}">
      <formula1>AREA_or_VOLUME</formula1>
    </dataValidation>
  </dataValidations>
  <hyperlinks>
    <hyperlink ref="B7" location="'PT 3 - animal housing'!Input" display="Input table" xr:uid="{8FDF2068-1C2C-4AF0-B595-74D7B12DEB75}"/>
    <hyperlink ref="B8" location="'PT 3 - animal housing'!Intermediate_calculations" display="Intermediate calculations" xr:uid="{8D2124AE-DBB1-49FD-AB68-DAD86E6C1BDE}"/>
    <hyperlink ref="B9" location="'PT 3 - animal housing'!Output" display="Output table" xr:uid="{7D641616-0B8D-4527-B477-5E78AFE97DF7}"/>
    <hyperlink ref="B10:H10" location="'PT 3 - animal housing'!Soil___arable_land" display="    Soil - arable land" xr:uid="{4C0FD406-C215-4411-A83F-E82F00C89FDD}"/>
    <hyperlink ref="B12:H12" location="'PT 3 - animal housing'!Soil___grassland" display="    Soil - grassland" xr:uid="{B3620C48-C173-492B-82AE-5B0F4C4CBFD4}"/>
    <hyperlink ref="B11" location="'PT 3 - animal housing'!Groundwater_and_surface_water_ar" display="    Groundwater and surface water - in arable land areas" xr:uid="{AD7497FB-59E3-4D98-9E9A-3F99C98721C5}"/>
    <hyperlink ref="B13" location="'PT 3 - animal housing'!Groundwater_and_surface_water_gr" display="    Groundwater and surface water - in grassland areas" xr:uid="{33F18C28-E8F0-49F8-A66B-E256FFDB82A6}"/>
    <hyperlink ref="B15" location="'PT 3 - animal housing'!STP" display="    STP" xr:uid="{EC5A0795-47A6-49AE-920E-3721525B2F09}"/>
    <hyperlink ref="B14" location="'PT 3 - animal housing'!Air" display="Air" xr:uid="{7715EFAA-1D40-466C-A1D9-FF8142725492}"/>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3C84-8EA0-4201-84DA-FC8B1F2DB544}">
  <dimension ref="A1:BN374"/>
  <sheetViews>
    <sheetView topLeftCell="A4" workbookViewId="0">
      <selection activeCell="A4" sqref="A4"/>
    </sheetView>
  </sheetViews>
  <sheetFormatPr defaultColWidth="8.7265625" defaultRowHeight="12.6"/>
  <cols>
    <col min="1" max="1" width="1.6328125" style="190" customWidth="1"/>
    <col min="2" max="2" width="40.6328125" customWidth="1"/>
    <col min="3" max="3" width="20.6328125" style="259" customWidth="1"/>
    <col min="4" max="4" width="25.6328125" style="260" customWidth="1"/>
    <col min="5" max="6" width="15.6328125" customWidth="1"/>
    <col min="7" max="7" width="10.6328125" customWidth="1"/>
    <col min="8" max="8" width="65.6328125" style="259" customWidth="1"/>
    <col min="9" max="11" width="15.6328125" style="190" customWidth="1"/>
    <col min="12" max="60" width="8.7265625" style="190"/>
  </cols>
  <sheetData>
    <row r="1" spans="1:66">
      <c r="B1" s="190"/>
      <c r="C1" s="191"/>
      <c r="D1" s="192"/>
      <c r="E1" s="190"/>
      <c r="F1" s="190"/>
      <c r="G1" s="190"/>
      <c r="H1" s="191"/>
    </row>
    <row r="2" spans="1:66" ht="20.399999999999999">
      <c r="B2" s="193" t="s">
        <v>191</v>
      </c>
      <c r="C2" s="194"/>
      <c r="D2" s="192"/>
      <c r="E2" s="190"/>
      <c r="F2" s="190"/>
      <c r="G2" s="190"/>
      <c r="H2" s="191"/>
    </row>
    <row r="3" spans="1:66" ht="13.2">
      <c r="B3" s="195"/>
      <c r="C3" s="196"/>
      <c r="D3" s="192"/>
      <c r="E3" s="190"/>
      <c r="F3" s="190"/>
      <c r="G3" s="190"/>
      <c r="H3" s="191"/>
    </row>
    <row r="4" spans="1:66" ht="16.2">
      <c r="B4" s="197"/>
      <c r="C4" s="198"/>
      <c r="D4" s="192"/>
      <c r="E4" s="190"/>
      <c r="F4" s="190"/>
      <c r="G4" s="190"/>
      <c r="H4" s="191"/>
    </row>
    <row r="5" spans="1:66" ht="17.399999999999999">
      <c r="B5" s="199" t="s">
        <v>366</v>
      </c>
      <c r="C5" s="200"/>
      <c r="D5" s="201"/>
      <c r="E5" s="202"/>
      <c r="F5" s="202"/>
      <c r="G5" s="203"/>
      <c r="H5" s="203"/>
    </row>
    <row r="6" spans="1:66" ht="16.2">
      <c r="B6" s="197"/>
      <c r="C6" s="198"/>
      <c r="D6" s="192"/>
      <c r="E6" s="190"/>
      <c r="F6" s="190"/>
      <c r="G6" s="190"/>
      <c r="H6" s="191"/>
    </row>
    <row r="7" spans="1:66" s="207" customFormat="1" ht="13.8">
      <c r="A7" s="204"/>
      <c r="B7" s="205" t="s">
        <v>192</v>
      </c>
      <c r="C7" s="206"/>
      <c r="D7" s="206"/>
      <c r="E7" s="206"/>
      <c r="F7" s="206"/>
      <c r="G7" s="206"/>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row>
    <row r="8" spans="1:66" s="190" customFormat="1" ht="30" customHeight="1">
      <c r="B8" s="509" t="s">
        <v>124</v>
      </c>
      <c r="C8" s="509"/>
      <c r="D8" s="509"/>
      <c r="E8" s="509"/>
      <c r="F8" s="509"/>
      <c r="G8" s="509"/>
      <c r="H8" s="509"/>
      <c r="I8" s="208"/>
      <c r="J8" s="209"/>
    </row>
    <row r="9" spans="1:66" s="190" customFormat="1">
      <c r="B9" s="210"/>
      <c r="C9" s="210"/>
      <c r="D9" s="210"/>
      <c r="E9" s="210"/>
      <c r="F9" s="210"/>
      <c r="G9" s="210"/>
      <c r="H9" s="208"/>
      <c r="I9" s="208"/>
      <c r="J9" s="209"/>
    </row>
    <row r="10" spans="1:66">
      <c r="B10" s="456" t="s">
        <v>55</v>
      </c>
      <c r="C10" s="190"/>
      <c r="D10" s="190"/>
      <c r="E10" s="190"/>
      <c r="F10" s="190"/>
      <c r="G10" s="190"/>
      <c r="H10" s="191"/>
      <c r="AT10"/>
      <c r="AU10"/>
      <c r="AV10"/>
      <c r="AW10"/>
      <c r="AX10"/>
      <c r="AY10"/>
      <c r="AZ10"/>
      <c r="BA10"/>
      <c r="BB10"/>
      <c r="BC10"/>
      <c r="BD10"/>
      <c r="BE10"/>
      <c r="BF10"/>
      <c r="BG10"/>
      <c r="BH10"/>
    </row>
    <row r="11" spans="1:66">
      <c r="B11" s="204" t="s">
        <v>193</v>
      </c>
      <c r="C11" s="190"/>
      <c r="D11" s="190"/>
      <c r="E11" s="190"/>
      <c r="F11" s="190"/>
      <c r="G11" s="190"/>
      <c r="H11" s="190"/>
      <c r="I11" s="191"/>
      <c r="BI11" s="190"/>
      <c r="BJ11" s="190"/>
      <c r="BK11" s="190"/>
      <c r="BL11" s="190"/>
      <c r="BM11" s="190"/>
      <c r="BN11" s="190"/>
    </row>
    <row r="12" spans="1:66">
      <c r="B12" s="204" t="s">
        <v>111</v>
      </c>
      <c r="C12" s="190"/>
      <c r="D12" s="190"/>
      <c r="E12" s="190"/>
      <c r="F12" s="190"/>
      <c r="G12" s="190"/>
      <c r="H12" s="190"/>
      <c r="I12" s="191"/>
      <c r="BI12" s="190"/>
      <c r="BJ12" s="190"/>
      <c r="BK12" s="190"/>
      <c r="BL12" s="190"/>
      <c r="BM12" s="190"/>
      <c r="BN12" s="190"/>
    </row>
    <row r="13" spans="1:66">
      <c r="B13" s="190"/>
      <c r="C13" s="191"/>
      <c r="D13" s="192"/>
      <c r="E13" s="190"/>
      <c r="F13" s="190"/>
      <c r="G13" s="190"/>
      <c r="H13" s="191"/>
    </row>
    <row r="14" spans="1:66" ht="16.2">
      <c r="B14" s="212" t="s">
        <v>0</v>
      </c>
      <c r="C14" s="213"/>
      <c r="D14" s="214"/>
      <c r="E14" s="215"/>
      <c r="F14" s="215"/>
      <c r="G14" s="215"/>
      <c r="H14" s="216"/>
    </row>
    <row r="15" spans="1:66">
      <c r="B15" s="217"/>
      <c r="C15" s="218"/>
      <c r="D15" s="219"/>
      <c r="E15" s="217"/>
      <c r="F15" s="217"/>
      <c r="G15" s="217"/>
      <c r="H15" s="218"/>
    </row>
    <row r="16" spans="1:66" ht="13.8">
      <c r="B16" s="220" t="s">
        <v>2</v>
      </c>
      <c r="C16" s="221"/>
      <c r="D16" s="222" t="s">
        <v>4</v>
      </c>
      <c r="E16" s="223" t="s">
        <v>7</v>
      </c>
      <c r="F16" s="223" t="s">
        <v>3</v>
      </c>
      <c r="G16" s="223" t="s">
        <v>11</v>
      </c>
      <c r="H16" s="221" t="s">
        <v>9</v>
      </c>
    </row>
    <row r="17" spans="1:60">
      <c r="B17" s="224"/>
      <c r="C17" s="225"/>
      <c r="D17" s="219"/>
      <c r="E17" s="217"/>
      <c r="F17" s="217"/>
      <c r="G17" s="217"/>
      <c r="H17" s="218"/>
    </row>
    <row r="18" spans="1:60" s="1" customFormat="1" ht="13.8">
      <c r="B18" s="226" t="s">
        <v>194</v>
      </c>
      <c r="C18" s="226"/>
      <c r="D18" s="226" t="s">
        <v>195</v>
      </c>
      <c r="E18" s="227">
        <v>4546</v>
      </c>
      <c r="F18" s="227" t="s">
        <v>196</v>
      </c>
      <c r="G18" s="227" t="s">
        <v>13</v>
      </c>
      <c r="H18" s="228" t="s">
        <v>197</v>
      </c>
      <c r="K18" s="39"/>
    </row>
    <row r="19" spans="1:60" s="1" customFormat="1" ht="3" customHeight="1">
      <c r="B19" s="229"/>
      <c r="C19" s="226"/>
      <c r="D19" s="226"/>
      <c r="E19" s="227"/>
      <c r="F19" s="227"/>
      <c r="G19" s="227"/>
      <c r="H19" s="228"/>
    </row>
    <row r="20" spans="1:60" s="1" customFormat="1" ht="13.8">
      <c r="B20" s="226" t="s">
        <v>198</v>
      </c>
      <c r="C20" s="226"/>
      <c r="D20" s="226" t="s">
        <v>199</v>
      </c>
      <c r="E20" s="227">
        <v>1120</v>
      </c>
      <c r="F20" s="227" t="s">
        <v>196</v>
      </c>
      <c r="G20" s="227" t="s">
        <v>13</v>
      </c>
      <c r="H20" s="228" t="s">
        <v>197</v>
      </c>
    </row>
    <row r="21" spans="1:60" s="1" customFormat="1" ht="3" customHeight="1">
      <c r="B21" s="229"/>
      <c r="C21" s="226"/>
      <c r="D21" s="226"/>
      <c r="E21" s="227"/>
      <c r="F21" s="227"/>
      <c r="G21" s="227"/>
      <c r="H21" s="228"/>
    </row>
    <row r="22" spans="1:60" s="1" customFormat="1" ht="13.8">
      <c r="B22" s="226" t="s">
        <v>200</v>
      </c>
      <c r="C22" s="226"/>
      <c r="D22" s="226" t="s">
        <v>201</v>
      </c>
      <c r="E22" s="227">
        <v>3355</v>
      </c>
      <c r="F22" s="227" t="s">
        <v>196</v>
      </c>
      <c r="G22" s="227" t="s">
        <v>13</v>
      </c>
      <c r="H22" s="228" t="s">
        <v>197</v>
      </c>
    </row>
    <row r="23" spans="1:60" s="1" customFormat="1" ht="3" customHeight="1">
      <c r="B23" s="229"/>
      <c r="C23" s="226"/>
      <c r="D23" s="226"/>
      <c r="E23" s="227"/>
      <c r="F23" s="227"/>
      <c r="G23" s="227"/>
      <c r="H23" s="228"/>
    </row>
    <row r="24" spans="1:60" s="1" customFormat="1" ht="13.8">
      <c r="B24" s="510" t="s">
        <v>202</v>
      </c>
      <c r="C24" s="510"/>
      <c r="D24" s="226" t="s">
        <v>39</v>
      </c>
      <c r="E24" s="95"/>
      <c r="F24" s="227" t="s">
        <v>322</v>
      </c>
      <c r="G24" s="227" t="s">
        <v>6</v>
      </c>
      <c r="H24" s="228"/>
    </row>
    <row r="25" spans="1:60" s="1" customFormat="1" ht="3" customHeight="1">
      <c r="B25" s="229"/>
      <c r="C25" s="226"/>
      <c r="D25" s="226"/>
      <c r="E25" s="227"/>
      <c r="F25" s="227"/>
      <c r="G25" s="227"/>
      <c r="H25" s="228"/>
    </row>
    <row r="26" spans="1:60" s="1" customFormat="1" ht="13.8">
      <c r="B26" s="510" t="s">
        <v>203</v>
      </c>
      <c r="C26" s="510"/>
      <c r="D26" s="226" t="s">
        <v>273</v>
      </c>
      <c r="E26" s="95"/>
      <c r="F26" s="227" t="s">
        <v>409</v>
      </c>
      <c r="G26" s="227" t="s">
        <v>6</v>
      </c>
      <c r="H26" s="228"/>
    </row>
    <row r="27" spans="1:60" s="3" customFormat="1" ht="3" customHeight="1">
      <c r="A27" s="1"/>
      <c r="B27" s="229"/>
      <c r="C27" s="226"/>
      <c r="D27" s="226"/>
      <c r="E27" s="227"/>
      <c r="F27" s="227"/>
      <c r="G27" s="227"/>
      <c r="H27" s="228"/>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s="3" customFormat="1" ht="28.5" customHeight="1">
      <c r="A28" s="1"/>
      <c r="B28" s="510" t="s">
        <v>204</v>
      </c>
      <c r="C28" s="510"/>
      <c r="D28" s="226" t="s">
        <v>205</v>
      </c>
      <c r="E28" s="95"/>
      <c r="F28" s="227" t="s">
        <v>5</v>
      </c>
      <c r="G28" s="227" t="s">
        <v>6</v>
      </c>
      <c r="H28" s="228"/>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s="3" customFormat="1" ht="3" customHeight="1">
      <c r="A29" s="1"/>
      <c r="B29" s="229"/>
      <c r="C29" s="226"/>
      <c r="D29" s="226"/>
      <c r="E29" s="227"/>
      <c r="F29" s="227"/>
      <c r="G29" s="227"/>
      <c r="H29" s="228"/>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s="3" customFormat="1" ht="13.8">
      <c r="A30" s="1"/>
      <c r="B30" s="229" t="s">
        <v>206</v>
      </c>
      <c r="C30" s="226"/>
      <c r="D30" s="226" t="s">
        <v>274</v>
      </c>
      <c r="E30" s="227">
        <v>0.1</v>
      </c>
      <c r="F30" s="227" t="s">
        <v>5</v>
      </c>
      <c r="G30" s="227" t="s">
        <v>13</v>
      </c>
      <c r="H30" s="228"/>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s="3" customFormat="1" ht="3" customHeight="1">
      <c r="A31" s="1"/>
      <c r="B31" s="229"/>
      <c r="C31" s="226"/>
      <c r="D31" s="226"/>
      <c r="E31" s="227"/>
      <c r="F31" s="227"/>
      <c r="G31" s="227"/>
      <c r="H31" s="228"/>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s="3" customFormat="1">
      <c r="A32" s="1"/>
      <c r="B32" s="229" t="s">
        <v>207</v>
      </c>
      <c r="C32" s="226"/>
      <c r="D32" s="226" t="s">
        <v>275</v>
      </c>
      <c r="E32" s="230">
        <f>1-E30</f>
        <v>0.9</v>
      </c>
      <c r="F32" s="227" t="s">
        <v>5</v>
      </c>
      <c r="G32" s="227" t="s">
        <v>8</v>
      </c>
      <c r="H32" s="228" t="s">
        <v>208</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s="3" customFormat="1" ht="3" customHeight="1">
      <c r="A33" s="1"/>
      <c r="B33" s="229"/>
      <c r="C33" s="226"/>
      <c r="D33" s="226"/>
      <c r="E33" s="227"/>
      <c r="F33" s="227"/>
      <c r="G33" s="227"/>
      <c r="H33" s="228"/>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s="3" customFormat="1" ht="14.25" customHeight="1">
      <c r="A34" s="1"/>
      <c r="B34" s="257" t="s">
        <v>209</v>
      </c>
      <c r="C34" s="255"/>
      <c r="D34" s="255" t="s">
        <v>262</v>
      </c>
      <c r="E34" s="267">
        <v>365</v>
      </c>
      <c r="F34" s="267" t="s">
        <v>263</v>
      </c>
      <c r="G34" s="267" t="s">
        <v>13</v>
      </c>
      <c r="H34" s="228"/>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s="3" customFormat="1" ht="3" customHeight="1">
      <c r="A35" s="1"/>
      <c r="B35" s="279"/>
      <c r="C35" s="255"/>
      <c r="D35" s="255"/>
      <c r="E35" s="267"/>
      <c r="F35" s="267"/>
      <c r="G35" s="267"/>
      <c r="H35" s="228"/>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s="3" customFormat="1" ht="29.25" customHeight="1">
      <c r="A36" s="1"/>
      <c r="B36" s="508" t="s">
        <v>264</v>
      </c>
      <c r="C36" s="508"/>
      <c r="D36" s="255" t="s">
        <v>265</v>
      </c>
      <c r="E36" s="280">
        <v>2.7799999999999998E-4</v>
      </c>
      <c r="F36" s="267" t="s">
        <v>266</v>
      </c>
      <c r="G36" s="267" t="s">
        <v>13</v>
      </c>
      <c r="H36" s="228"/>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s="3" customFormat="1" ht="3" customHeight="1">
      <c r="A37" s="1"/>
      <c r="B37" s="255"/>
      <c r="C37" s="255"/>
      <c r="D37" s="255"/>
      <c r="E37" s="280"/>
      <c r="F37" s="267"/>
      <c r="G37" s="267"/>
      <c r="H37" s="228"/>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s="3" customFormat="1" ht="13.8">
      <c r="A38" s="1"/>
      <c r="B38" s="255" t="s">
        <v>210</v>
      </c>
      <c r="C38" s="255"/>
      <c r="D38" s="255" t="s">
        <v>211</v>
      </c>
      <c r="E38" s="267">
        <v>1</v>
      </c>
      <c r="F38" s="267" t="s">
        <v>267</v>
      </c>
      <c r="G38" s="267" t="s">
        <v>13</v>
      </c>
      <c r="H38" s="228"/>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s="3" customFormat="1" ht="3" customHeight="1">
      <c r="A39" s="1"/>
      <c r="B39" s="279"/>
      <c r="C39" s="255"/>
      <c r="D39" s="255"/>
      <c r="E39" s="280"/>
      <c r="F39" s="267"/>
      <c r="G39" s="267"/>
      <c r="H39" s="228"/>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s="3" customFormat="1" ht="13.8">
      <c r="A40" s="1"/>
      <c r="B40" s="279" t="s">
        <v>212</v>
      </c>
      <c r="C40" s="255"/>
      <c r="D40" s="255" t="s">
        <v>213</v>
      </c>
      <c r="E40" s="267">
        <v>365</v>
      </c>
      <c r="F40" s="267" t="s">
        <v>268</v>
      </c>
      <c r="G40" s="267" t="s">
        <v>13</v>
      </c>
      <c r="H40" s="228"/>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s="3" customFormat="1">
      <c r="A41" s="1"/>
      <c r="B41" s="229"/>
      <c r="C41" s="226"/>
      <c r="D41" s="226"/>
      <c r="E41" s="233"/>
      <c r="F41" s="233"/>
      <c r="G41" s="233"/>
      <c r="H41" s="228"/>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s="3" customFormat="1" ht="16.2">
      <c r="A42" s="1"/>
      <c r="B42" s="212" t="s">
        <v>49</v>
      </c>
      <c r="C42" s="213"/>
      <c r="D42" s="237"/>
      <c r="E42" s="238"/>
      <c r="F42" s="238"/>
      <c r="G42" s="238"/>
      <c r="H42" s="239"/>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s="3" customFormat="1">
      <c r="A43" s="1"/>
      <c r="B43" s="233"/>
      <c r="C43" s="228"/>
      <c r="D43" s="226"/>
      <c r="E43" s="233"/>
      <c r="F43" s="233"/>
      <c r="G43" s="233"/>
      <c r="H43" s="228"/>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s="3" customFormat="1" ht="13.8">
      <c r="A44" s="1"/>
      <c r="B44" s="240" t="s">
        <v>2</v>
      </c>
      <c r="C44" s="241"/>
      <c r="D44" s="242" t="s">
        <v>4</v>
      </c>
      <c r="E44" s="243" t="s">
        <v>7</v>
      </c>
      <c r="F44" s="243" t="s">
        <v>3</v>
      </c>
      <c r="G44" s="243" t="s">
        <v>11</v>
      </c>
      <c r="H44" s="241" t="s">
        <v>9</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s="3" customFormat="1">
      <c r="A45" s="1"/>
      <c r="B45" s="244"/>
      <c r="C45" s="245"/>
      <c r="D45" s="246"/>
      <c r="E45" s="244"/>
      <c r="F45" s="244"/>
      <c r="G45" s="244"/>
      <c r="H45" s="228"/>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s="1" customFormat="1">
      <c r="B46" s="511" t="s">
        <v>217</v>
      </c>
      <c r="C46" s="511"/>
      <c r="D46" s="247"/>
      <c r="E46" s="248"/>
      <c r="F46" s="233"/>
      <c r="G46" s="233"/>
      <c r="H46" s="233"/>
    </row>
    <row r="47" spans="1:60" s="1" customFormat="1" ht="15">
      <c r="B47" s="249"/>
      <c r="C47" s="226" t="s">
        <v>218</v>
      </c>
      <c r="D47" s="250" t="s">
        <v>103</v>
      </c>
      <c r="E47" s="285" t="str">
        <f>IF(AND(F_bioc&gt;0,V_prod&gt;0,F_dil&gt;0),0.001*F_bioc*V_prod*F_dil*AREAmam,"??")</f>
        <v>??</v>
      </c>
      <c r="F47" s="267" t="s">
        <v>403</v>
      </c>
      <c r="G47" s="227" t="s">
        <v>8</v>
      </c>
      <c r="H47" s="252" t="s">
        <v>280</v>
      </c>
    </row>
    <row r="48" spans="1:60" s="1" customFormat="1" ht="15">
      <c r="B48" s="253"/>
      <c r="C48" s="254" t="s">
        <v>219</v>
      </c>
      <c r="D48" s="250" t="s">
        <v>103</v>
      </c>
      <c r="E48" s="285" t="str">
        <f>IF(AND(F_bioc&gt;0,V_prod&gt;0,F_dil&gt;0),0.001*F_bioc*V_prod*F_dil*(AREApoul+AREAcont),"??")</f>
        <v>??</v>
      </c>
      <c r="F48" s="267" t="s">
        <v>403</v>
      </c>
      <c r="G48" s="227" t="s">
        <v>8</v>
      </c>
      <c r="H48" s="252" t="s">
        <v>281</v>
      </c>
    </row>
    <row r="49" spans="1:60" s="1" customFormat="1">
      <c r="B49" s="253"/>
      <c r="C49" s="465"/>
      <c r="D49" s="466"/>
      <c r="E49" s="227"/>
      <c r="F49" s="267"/>
      <c r="G49" s="227"/>
      <c r="H49" s="252"/>
    </row>
    <row r="50" spans="1:60" s="1" customFormat="1">
      <c r="B50" s="226" t="s">
        <v>555</v>
      </c>
      <c r="C50" s="256"/>
      <c r="D50" s="226"/>
      <c r="E50" s="233"/>
      <c r="F50" s="227"/>
      <c r="G50" s="227"/>
      <c r="H50" s="228"/>
    </row>
    <row r="51" spans="1:60" s="1" customFormat="1" ht="15">
      <c r="B51" s="249"/>
      <c r="C51" s="254" t="s">
        <v>218</v>
      </c>
      <c r="D51" s="254" t="s">
        <v>276</v>
      </c>
      <c r="E51" s="285" t="str">
        <f>IF(NOT(Qai_prescr_mam="??"),Fair*Qai_prescr_mam,"??")</f>
        <v>??</v>
      </c>
      <c r="F51" s="267" t="s">
        <v>403</v>
      </c>
      <c r="G51" s="227" t="s">
        <v>8</v>
      </c>
      <c r="H51" s="257" t="s">
        <v>287</v>
      </c>
    </row>
    <row r="52" spans="1:60" s="1" customFormat="1" ht="15">
      <c r="B52" s="253"/>
      <c r="C52" s="254" t="s">
        <v>219</v>
      </c>
      <c r="D52" s="254" t="s">
        <v>277</v>
      </c>
      <c r="E52" s="285" t="str">
        <f>IF(NOT(Qai_prescr_poul="??"),Fair*Qai_prescr_poul,"??")</f>
        <v>??</v>
      </c>
      <c r="F52" s="267" t="s">
        <v>403</v>
      </c>
      <c r="G52" s="227" t="s">
        <v>8</v>
      </c>
      <c r="H52" s="257" t="s">
        <v>288</v>
      </c>
    </row>
    <row r="53" spans="1:60" s="1" customFormat="1">
      <c r="B53" s="253"/>
      <c r="C53" s="465"/>
      <c r="D53" s="465"/>
      <c r="E53" s="267"/>
      <c r="F53" s="267"/>
      <c r="G53" s="227"/>
      <c r="H53" s="257"/>
    </row>
    <row r="54" spans="1:60" s="1" customFormat="1">
      <c r="B54" s="507" t="s">
        <v>223</v>
      </c>
      <c r="C54" s="507"/>
      <c r="D54" s="507"/>
      <c r="E54" s="258"/>
      <c r="F54" s="267"/>
      <c r="G54" s="267"/>
      <c r="H54" s="257"/>
    </row>
    <row r="55" spans="1:60" s="1" customFormat="1" ht="15">
      <c r="B55" s="282"/>
      <c r="C55" s="250" t="s">
        <v>218</v>
      </c>
      <c r="D55" s="250" t="s">
        <v>282</v>
      </c>
      <c r="E55" s="285" t="str">
        <f>IF(NOT(Qai_prescr_mam="??"), Fstp*Qai_prescr_mam,"??")</f>
        <v>??</v>
      </c>
      <c r="F55" s="267" t="s">
        <v>403</v>
      </c>
      <c r="G55" s="267" t="s">
        <v>8</v>
      </c>
      <c r="H55" s="257" t="s">
        <v>283</v>
      </c>
    </row>
    <row r="56" spans="1:60" s="1" customFormat="1" ht="15">
      <c r="B56" s="284"/>
      <c r="C56" s="250" t="s">
        <v>219</v>
      </c>
      <c r="D56" s="250" t="s">
        <v>282</v>
      </c>
      <c r="E56" s="285" t="str">
        <f>IF(NOT(Qai_prescr_poul="??"), Fstp*Qai_prescr_poul,"??")</f>
        <v>??</v>
      </c>
      <c r="F56" s="267" t="s">
        <v>403</v>
      </c>
      <c r="G56" s="267" t="s">
        <v>8</v>
      </c>
      <c r="H56" s="257" t="s">
        <v>284</v>
      </c>
    </row>
    <row r="57" spans="1:60" s="1" customFormat="1">
      <c r="B57" s="253"/>
      <c r="C57" s="465"/>
      <c r="D57" s="465"/>
      <c r="E57" s="267"/>
      <c r="F57" s="267"/>
      <c r="G57" s="227"/>
      <c r="H57" s="257"/>
    </row>
    <row r="58" spans="1:60" s="3" customFormat="1" ht="16.2">
      <c r="A58" s="1"/>
      <c r="B58" s="212" t="s">
        <v>1</v>
      </c>
      <c r="C58" s="213"/>
      <c r="D58" s="237"/>
      <c r="E58" s="238"/>
      <c r="F58" s="238"/>
      <c r="G58" s="238"/>
      <c r="H58" s="239"/>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3" customFormat="1">
      <c r="A59" s="1"/>
      <c r="B59" s="233"/>
      <c r="C59" s="228"/>
      <c r="D59" s="226"/>
      <c r="E59" s="233"/>
      <c r="F59" s="233"/>
      <c r="G59" s="233"/>
      <c r="H59" s="228"/>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s="3" customFormat="1" ht="13.8">
      <c r="A60" s="1"/>
      <c r="B60" s="240" t="s">
        <v>2</v>
      </c>
      <c r="C60" s="241"/>
      <c r="D60" s="242" t="s">
        <v>4</v>
      </c>
      <c r="E60" s="243" t="s">
        <v>7</v>
      </c>
      <c r="F60" s="243" t="s">
        <v>3</v>
      </c>
      <c r="G60" s="243" t="s">
        <v>11</v>
      </c>
      <c r="H60" s="241" t="s">
        <v>9</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s="3" customFormat="1">
      <c r="A61" s="1"/>
      <c r="B61" s="244"/>
      <c r="C61" s="245"/>
      <c r="D61" s="246"/>
      <c r="E61" s="244"/>
      <c r="F61" s="244"/>
      <c r="G61" s="244"/>
      <c r="H61" s="228"/>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s="1" customFormat="1">
      <c r="B62" s="512" t="s">
        <v>220</v>
      </c>
      <c r="C62" s="512"/>
      <c r="D62" s="512"/>
      <c r="E62" s="233"/>
      <c r="F62" s="227"/>
      <c r="G62" s="227"/>
      <c r="H62" s="228"/>
    </row>
    <row r="63" spans="1:60" s="1" customFormat="1" ht="3" customHeight="1">
      <c r="B63" s="253"/>
      <c r="C63" s="226"/>
      <c r="D63" s="226"/>
      <c r="E63" s="233"/>
      <c r="F63" s="231"/>
      <c r="G63" s="227"/>
      <c r="H63" s="257"/>
    </row>
    <row r="64" spans="1:60" s="1" customFormat="1">
      <c r="B64" s="255" t="s">
        <v>553</v>
      </c>
      <c r="C64" s="281"/>
      <c r="D64" s="255"/>
      <c r="E64" s="252"/>
      <c r="F64" s="267"/>
      <c r="G64" s="267"/>
      <c r="H64" s="257"/>
    </row>
    <row r="65" spans="2:9" s="1" customFormat="1" ht="15">
      <c r="B65" s="282"/>
      <c r="C65" s="250" t="s">
        <v>218</v>
      </c>
      <c r="D65" s="250" t="s">
        <v>269</v>
      </c>
      <c r="E65" s="285" t="str">
        <f>IF(ISNUMBER(Edirect_air_mam),Edirect_air_mam*Nappbioc/Temission,"??")</f>
        <v>??</v>
      </c>
      <c r="F65" s="267" t="s">
        <v>404</v>
      </c>
      <c r="G65" s="267" t="s">
        <v>8</v>
      </c>
      <c r="H65" s="283" t="s">
        <v>289</v>
      </c>
    </row>
    <row r="66" spans="2:9" s="1" customFormat="1" ht="15">
      <c r="B66" s="284"/>
      <c r="C66" s="250" t="s">
        <v>219</v>
      </c>
      <c r="D66" s="250" t="s">
        <v>270</v>
      </c>
      <c r="E66" s="285" t="str">
        <f>IF(ISNUMBER(Edirect_air_poul),Edirect_air_poul*Nappbioc/Temission,"??")</f>
        <v>??</v>
      </c>
      <c r="F66" s="267" t="s">
        <v>404</v>
      </c>
      <c r="G66" s="267" t="s">
        <v>8</v>
      </c>
      <c r="H66" s="283" t="s">
        <v>290</v>
      </c>
    </row>
    <row r="67" spans="2:9" s="1" customFormat="1" ht="3" customHeight="1">
      <c r="B67" s="284"/>
      <c r="C67" s="255"/>
      <c r="D67" s="255"/>
      <c r="E67" s="252"/>
      <c r="F67" s="267"/>
      <c r="G67" s="267"/>
      <c r="H67" s="257"/>
    </row>
    <row r="68" spans="2:9" s="1" customFormat="1">
      <c r="B68" s="511" t="s">
        <v>221</v>
      </c>
      <c r="C68" s="511"/>
      <c r="D68" s="226"/>
      <c r="E68" s="227"/>
      <c r="F68" s="227"/>
      <c r="G68" s="227"/>
      <c r="H68" s="257"/>
    </row>
    <row r="69" spans="2:9" s="1" customFormat="1" ht="15">
      <c r="B69" s="249"/>
      <c r="C69" s="254" t="s">
        <v>218</v>
      </c>
      <c r="D69" s="254" t="s">
        <v>278</v>
      </c>
      <c r="E69" s="285" t="str">
        <f>IF(NOT(Edirect_air_mam="??"),Edirect_air_mam*Cstdair*Nappbioc/(Temission*Source_strength),"??")</f>
        <v>??</v>
      </c>
      <c r="F69" s="227" t="s">
        <v>222</v>
      </c>
      <c r="G69" s="227" t="s">
        <v>8</v>
      </c>
      <c r="H69" s="508" t="s">
        <v>279</v>
      </c>
      <c r="I69" s="39"/>
    </row>
    <row r="70" spans="2:9" s="1" customFormat="1" ht="15">
      <c r="B70" s="253"/>
      <c r="C70" s="254" t="s">
        <v>219</v>
      </c>
      <c r="D70" s="254" t="s">
        <v>278</v>
      </c>
      <c r="E70" s="285" t="str">
        <f>IF(NOT(Edirect_air_poul="??"),Edirect_air_poul*Cstdair*Nappbioc/(Temission*Source_strength),"??")</f>
        <v>??</v>
      </c>
      <c r="F70" s="227" t="s">
        <v>222</v>
      </c>
      <c r="G70" s="227" t="s">
        <v>8</v>
      </c>
      <c r="H70" s="508"/>
      <c r="I70" s="39"/>
    </row>
    <row r="71" spans="2:9" s="1" customFormat="1">
      <c r="B71" s="226"/>
      <c r="C71" s="256"/>
      <c r="D71" s="226"/>
      <c r="E71" s="233"/>
      <c r="F71" s="227"/>
      <c r="G71" s="227"/>
      <c r="H71" s="257"/>
      <c r="I71" s="39"/>
    </row>
    <row r="72" spans="2:9" s="1" customFormat="1">
      <c r="B72" s="506" t="s">
        <v>51</v>
      </c>
      <c r="C72" s="506"/>
      <c r="D72" s="506"/>
      <c r="E72" s="252"/>
      <c r="F72" s="267"/>
      <c r="G72" s="267"/>
      <c r="H72" s="257"/>
      <c r="I72" s="39"/>
    </row>
    <row r="73" spans="2:9" s="1" customFormat="1" ht="3" customHeight="1">
      <c r="B73" s="284"/>
      <c r="C73" s="255"/>
      <c r="D73" s="255"/>
      <c r="E73" s="252"/>
      <c r="F73" s="267"/>
      <c r="G73" s="267"/>
      <c r="H73" s="257"/>
    </row>
    <row r="74" spans="2:9" s="1" customFormat="1">
      <c r="B74" s="255" t="s">
        <v>554</v>
      </c>
      <c r="C74" s="281"/>
      <c r="D74" s="255"/>
      <c r="E74" s="252"/>
      <c r="F74" s="267"/>
      <c r="G74" s="267"/>
      <c r="H74" s="257"/>
    </row>
    <row r="75" spans="2:9" s="1" customFormat="1" ht="15">
      <c r="B75" s="282"/>
      <c r="C75" s="250" t="s">
        <v>218</v>
      </c>
      <c r="D75" s="250" t="s">
        <v>271</v>
      </c>
      <c r="E75" s="285" t="str">
        <f>IF(ISNUMBER(E55),E55*Nappbioc/Temission,"??")</f>
        <v>??</v>
      </c>
      <c r="F75" s="267" t="s">
        <v>404</v>
      </c>
      <c r="G75" s="267" t="s">
        <v>8</v>
      </c>
      <c r="H75" s="283" t="s">
        <v>286</v>
      </c>
    </row>
    <row r="76" spans="2:9" s="1" customFormat="1" ht="15">
      <c r="B76" s="284"/>
      <c r="C76" s="250" t="s">
        <v>219</v>
      </c>
      <c r="D76" s="250" t="s">
        <v>272</v>
      </c>
      <c r="E76" s="285" t="str">
        <f>IF(ISNUMBER(E56),E56*Nappbioc/Temission,"??")</f>
        <v>??</v>
      </c>
      <c r="F76" s="267" t="s">
        <v>404</v>
      </c>
      <c r="G76" s="267" t="s">
        <v>8</v>
      </c>
      <c r="H76" s="283" t="s">
        <v>285</v>
      </c>
    </row>
    <row r="77" spans="2:9" s="1" customFormat="1">
      <c r="B77" s="253"/>
      <c r="C77" s="226"/>
      <c r="D77" s="226"/>
      <c r="E77" s="233"/>
      <c r="F77" s="231"/>
      <c r="G77" s="227"/>
      <c r="H77" s="257"/>
    </row>
    <row r="78" spans="2:9" s="1" customFormat="1">
      <c r="B78" s="232"/>
      <c r="C78" s="226"/>
      <c r="D78" s="226"/>
      <c r="E78" s="233"/>
      <c r="F78" s="233"/>
      <c r="G78" s="233"/>
      <c r="H78" s="258"/>
    </row>
    <row r="79" spans="2:9" s="190" customFormat="1">
      <c r="B79" s="235" t="s">
        <v>12</v>
      </c>
      <c r="C79" s="191"/>
      <c r="D79" s="192"/>
      <c r="H79" s="191"/>
    </row>
    <row r="80" spans="2:9" s="190" customFormat="1" ht="13.8">
      <c r="B80" s="235" t="s">
        <v>214</v>
      </c>
      <c r="C80" s="236"/>
      <c r="D80" s="192"/>
      <c r="H80" s="191"/>
    </row>
    <row r="81" spans="2:8" s="190" customFormat="1">
      <c r="B81" s="235" t="s">
        <v>215</v>
      </c>
      <c r="C81" s="236"/>
      <c r="D81" s="192"/>
      <c r="H81" s="191"/>
    </row>
    <row r="82" spans="2:8" s="190" customFormat="1">
      <c r="B82" s="235" t="s">
        <v>216</v>
      </c>
      <c r="C82" s="236"/>
      <c r="D82" s="192"/>
      <c r="H82" s="191"/>
    </row>
    <row r="83" spans="2:8" s="190" customFormat="1">
      <c r="C83" s="191"/>
      <c r="D83" s="192"/>
      <c r="H83" s="191"/>
    </row>
    <row r="84" spans="2:8" s="190" customFormat="1">
      <c r="C84" s="191"/>
      <c r="D84" s="192"/>
      <c r="H84" s="191"/>
    </row>
    <row r="85" spans="2:8" s="190" customFormat="1">
      <c r="C85" s="191"/>
      <c r="D85" s="192"/>
      <c r="H85" s="191"/>
    </row>
    <row r="86" spans="2:8" s="190" customFormat="1">
      <c r="C86" s="191"/>
      <c r="D86" s="192"/>
      <c r="H86" s="191"/>
    </row>
    <row r="87" spans="2:8" s="190" customFormat="1">
      <c r="C87" s="191"/>
      <c r="D87" s="192"/>
      <c r="H87" s="191"/>
    </row>
    <row r="88" spans="2:8" s="190" customFormat="1">
      <c r="C88" s="191"/>
      <c r="D88" s="192"/>
      <c r="H88" s="191"/>
    </row>
    <row r="89" spans="2:8" s="190" customFormat="1">
      <c r="C89" s="191"/>
      <c r="D89" s="192"/>
      <c r="H89" s="191"/>
    </row>
    <row r="90" spans="2:8" s="190" customFormat="1">
      <c r="C90" s="191"/>
      <c r="D90" s="192"/>
      <c r="H90" s="191"/>
    </row>
    <row r="91" spans="2:8" s="190" customFormat="1">
      <c r="C91" s="191"/>
      <c r="D91" s="192"/>
      <c r="H91" s="191"/>
    </row>
    <row r="92" spans="2:8" s="190" customFormat="1">
      <c r="C92" s="191"/>
      <c r="D92" s="192"/>
      <c r="H92" s="191"/>
    </row>
    <row r="93" spans="2:8" s="190" customFormat="1">
      <c r="C93" s="191"/>
      <c r="D93" s="192"/>
      <c r="H93" s="191"/>
    </row>
    <row r="94" spans="2:8" s="190" customFormat="1">
      <c r="C94" s="191"/>
      <c r="D94" s="192"/>
      <c r="H94" s="191"/>
    </row>
    <row r="95" spans="2:8" s="190" customFormat="1">
      <c r="C95" s="191"/>
      <c r="D95" s="192"/>
      <c r="H95" s="191"/>
    </row>
    <row r="96" spans="2:8" s="190" customFormat="1">
      <c r="C96" s="191"/>
      <c r="D96" s="192"/>
      <c r="H96" s="191"/>
    </row>
    <row r="97" spans="3:8" s="190" customFormat="1">
      <c r="C97" s="191"/>
      <c r="D97" s="192"/>
      <c r="H97" s="191"/>
    </row>
    <row r="98" spans="3:8" s="190" customFormat="1">
      <c r="C98" s="191"/>
      <c r="D98" s="192"/>
      <c r="H98" s="191"/>
    </row>
    <row r="99" spans="3:8" s="190" customFormat="1">
      <c r="C99" s="191"/>
      <c r="D99" s="192"/>
      <c r="H99" s="191"/>
    </row>
    <row r="100" spans="3:8" s="190" customFormat="1">
      <c r="C100" s="191"/>
      <c r="D100" s="192"/>
      <c r="H100" s="191"/>
    </row>
    <row r="101" spans="3:8" s="190" customFormat="1">
      <c r="C101" s="191"/>
      <c r="D101" s="192"/>
      <c r="H101" s="191"/>
    </row>
    <row r="102" spans="3:8" s="190" customFormat="1">
      <c r="C102" s="191"/>
      <c r="D102" s="192"/>
      <c r="H102" s="191"/>
    </row>
    <row r="103" spans="3:8" s="190" customFormat="1">
      <c r="C103" s="191"/>
      <c r="D103" s="192"/>
      <c r="H103" s="191"/>
    </row>
    <row r="104" spans="3:8" s="190" customFormat="1">
      <c r="C104" s="191"/>
      <c r="D104" s="192"/>
      <c r="H104" s="191"/>
    </row>
    <row r="105" spans="3:8" s="190" customFormat="1">
      <c r="C105" s="191"/>
      <c r="D105" s="192"/>
      <c r="H105" s="191"/>
    </row>
    <row r="106" spans="3:8" s="190" customFormat="1">
      <c r="C106" s="191"/>
      <c r="D106" s="192"/>
      <c r="H106" s="191"/>
    </row>
    <row r="107" spans="3:8" s="190" customFormat="1">
      <c r="C107" s="191"/>
      <c r="D107" s="192"/>
      <c r="H107" s="191"/>
    </row>
    <row r="108" spans="3:8" s="190" customFormat="1">
      <c r="C108" s="191"/>
      <c r="D108" s="192"/>
      <c r="H108" s="191"/>
    </row>
    <row r="109" spans="3:8" s="190" customFormat="1">
      <c r="C109" s="191"/>
      <c r="D109" s="192"/>
      <c r="H109" s="191"/>
    </row>
    <row r="110" spans="3:8" s="190" customFormat="1">
      <c r="C110" s="191"/>
      <c r="D110" s="192"/>
      <c r="H110" s="191"/>
    </row>
    <row r="111" spans="3:8" s="190" customFormat="1">
      <c r="C111" s="191"/>
      <c r="D111" s="192"/>
      <c r="H111" s="191"/>
    </row>
    <row r="112" spans="3:8" s="190" customFormat="1">
      <c r="C112" s="191"/>
      <c r="D112" s="192"/>
      <c r="H112" s="191"/>
    </row>
    <row r="113" spans="3:8" s="190" customFormat="1">
      <c r="C113" s="191"/>
      <c r="D113" s="192"/>
      <c r="H113" s="191"/>
    </row>
    <row r="114" spans="3:8" s="190" customFormat="1">
      <c r="C114" s="191"/>
      <c r="D114" s="192"/>
      <c r="H114" s="191"/>
    </row>
    <row r="115" spans="3:8" s="190" customFormat="1">
      <c r="C115" s="191"/>
      <c r="D115" s="192"/>
      <c r="H115" s="191"/>
    </row>
    <row r="116" spans="3:8" s="190" customFormat="1">
      <c r="C116" s="191"/>
      <c r="D116" s="192"/>
      <c r="H116" s="191"/>
    </row>
    <row r="117" spans="3:8" s="190" customFormat="1">
      <c r="C117" s="191"/>
      <c r="D117" s="192"/>
      <c r="H117" s="191"/>
    </row>
    <row r="118" spans="3:8" s="190" customFormat="1">
      <c r="C118" s="191"/>
      <c r="D118" s="192"/>
      <c r="H118" s="191"/>
    </row>
    <row r="119" spans="3:8" s="190" customFormat="1">
      <c r="C119" s="191"/>
      <c r="D119" s="192"/>
      <c r="H119" s="191"/>
    </row>
    <row r="120" spans="3:8" s="190" customFormat="1">
      <c r="C120" s="191"/>
      <c r="D120" s="192"/>
      <c r="H120" s="191"/>
    </row>
    <row r="121" spans="3:8" s="190" customFormat="1">
      <c r="C121" s="191"/>
      <c r="D121" s="192"/>
      <c r="H121" s="191"/>
    </row>
    <row r="122" spans="3:8" s="190" customFormat="1">
      <c r="C122" s="191"/>
      <c r="D122" s="192"/>
      <c r="H122" s="191"/>
    </row>
    <row r="123" spans="3:8" s="190" customFormat="1">
      <c r="C123" s="191"/>
      <c r="D123" s="192"/>
      <c r="H123" s="191"/>
    </row>
    <row r="124" spans="3:8" s="190" customFormat="1">
      <c r="C124" s="191"/>
      <c r="D124" s="192"/>
      <c r="H124" s="191"/>
    </row>
    <row r="125" spans="3:8" s="190" customFormat="1">
      <c r="C125" s="191"/>
      <c r="D125" s="192"/>
      <c r="H125" s="191"/>
    </row>
    <row r="126" spans="3:8" s="190" customFormat="1">
      <c r="C126" s="191"/>
      <c r="D126" s="192"/>
      <c r="H126" s="191"/>
    </row>
    <row r="127" spans="3:8" s="190" customFormat="1">
      <c r="C127" s="191"/>
      <c r="D127" s="192"/>
      <c r="H127" s="191"/>
    </row>
    <row r="128" spans="3:8" s="190" customFormat="1">
      <c r="C128" s="191"/>
      <c r="D128" s="192"/>
      <c r="H128" s="191"/>
    </row>
    <row r="129" spans="3:8" s="190" customFormat="1">
      <c r="C129" s="191"/>
      <c r="D129" s="192"/>
      <c r="H129" s="191"/>
    </row>
    <row r="130" spans="3:8" s="190" customFormat="1">
      <c r="C130" s="191"/>
      <c r="D130" s="192"/>
      <c r="H130" s="191"/>
    </row>
    <row r="131" spans="3:8" s="190" customFormat="1">
      <c r="C131" s="191"/>
      <c r="D131" s="192"/>
      <c r="H131" s="191"/>
    </row>
    <row r="132" spans="3:8" s="190" customFormat="1">
      <c r="C132" s="191"/>
      <c r="D132" s="192"/>
      <c r="H132" s="191"/>
    </row>
    <row r="133" spans="3:8" s="190" customFormat="1">
      <c r="C133" s="191"/>
      <c r="D133" s="192"/>
      <c r="H133" s="191"/>
    </row>
    <row r="134" spans="3:8" s="190" customFormat="1">
      <c r="C134" s="191"/>
      <c r="D134" s="192"/>
      <c r="H134" s="191"/>
    </row>
    <row r="135" spans="3:8" s="190" customFormat="1">
      <c r="C135" s="191"/>
      <c r="D135" s="192"/>
      <c r="H135" s="191"/>
    </row>
    <row r="136" spans="3:8" s="190" customFormat="1">
      <c r="C136" s="191"/>
      <c r="D136" s="192"/>
      <c r="H136" s="191"/>
    </row>
    <row r="137" spans="3:8" s="190" customFormat="1">
      <c r="C137" s="191"/>
      <c r="D137" s="192"/>
      <c r="H137" s="191"/>
    </row>
    <row r="138" spans="3:8" s="190" customFormat="1">
      <c r="C138" s="191"/>
      <c r="D138" s="192"/>
      <c r="H138" s="191"/>
    </row>
    <row r="139" spans="3:8" s="190" customFormat="1">
      <c r="C139" s="191"/>
      <c r="D139" s="192"/>
      <c r="H139" s="191"/>
    </row>
    <row r="140" spans="3:8" s="190" customFormat="1">
      <c r="C140" s="191"/>
      <c r="D140" s="192"/>
      <c r="H140" s="191"/>
    </row>
    <row r="141" spans="3:8" s="190" customFormat="1">
      <c r="C141" s="191"/>
      <c r="D141" s="192"/>
      <c r="H141" s="191"/>
    </row>
    <row r="142" spans="3:8" s="190" customFormat="1">
      <c r="C142" s="191"/>
      <c r="D142" s="192"/>
      <c r="H142" s="191"/>
    </row>
    <row r="143" spans="3:8" s="190" customFormat="1">
      <c r="C143" s="191"/>
      <c r="D143" s="192"/>
      <c r="H143" s="191"/>
    </row>
    <row r="144" spans="3:8" s="190" customFormat="1">
      <c r="C144" s="191"/>
      <c r="D144" s="192"/>
      <c r="H144" s="191"/>
    </row>
    <row r="145" spans="3:8" s="190" customFormat="1">
      <c r="C145" s="191"/>
      <c r="D145" s="192"/>
      <c r="H145" s="191"/>
    </row>
    <row r="146" spans="3:8" s="190" customFormat="1">
      <c r="C146" s="191"/>
      <c r="D146" s="192"/>
      <c r="H146" s="191"/>
    </row>
    <row r="147" spans="3:8" s="190" customFormat="1">
      <c r="C147" s="191"/>
      <c r="D147" s="192"/>
      <c r="H147" s="191"/>
    </row>
    <row r="148" spans="3:8" s="190" customFormat="1">
      <c r="C148" s="191"/>
      <c r="D148" s="192"/>
      <c r="H148" s="191"/>
    </row>
    <row r="149" spans="3:8" s="190" customFormat="1">
      <c r="C149" s="191"/>
      <c r="D149" s="192"/>
      <c r="H149" s="191"/>
    </row>
    <row r="150" spans="3:8" s="190" customFormat="1">
      <c r="C150" s="191"/>
      <c r="D150" s="192"/>
      <c r="H150" s="191"/>
    </row>
    <row r="151" spans="3:8" s="190" customFormat="1">
      <c r="C151" s="191"/>
      <c r="D151" s="192"/>
      <c r="H151" s="191"/>
    </row>
    <row r="152" spans="3:8" s="190" customFormat="1">
      <c r="C152" s="191"/>
      <c r="D152" s="192"/>
      <c r="H152" s="191"/>
    </row>
    <row r="153" spans="3:8" s="190" customFormat="1">
      <c r="C153" s="191"/>
      <c r="D153" s="192"/>
      <c r="H153" s="191"/>
    </row>
    <row r="154" spans="3:8" s="190" customFormat="1">
      <c r="C154" s="191"/>
      <c r="D154" s="192"/>
      <c r="H154" s="191"/>
    </row>
    <row r="155" spans="3:8" s="190" customFormat="1">
      <c r="C155" s="191"/>
      <c r="D155" s="192"/>
      <c r="H155" s="191"/>
    </row>
    <row r="156" spans="3:8" s="190" customFormat="1">
      <c r="C156" s="191"/>
      <c r="D156" s="192"/>
      <c r="H156" s="191"/>
    </row>
    <row r="157" spans="3:8" s="190" customFormat="1">
      <c r="C157" s="191"/>
      <c r="D157" s="192"/>
      <c r="H157" s="191"/>
    </row>
    <row r="158" spans="3:8" s="190" customFormat="1">
      <c r="C158" s="191"/>
      <c r="D158" s="192"/>
      <c r="H158" s="191"/>
    </row>
    <row r="159" spans="3:8" s="190" customFormat="1">
      <c r="C159" s="191"/>
      <c r="D159" s="192"/>
      <c r="H159" s="191"/>
    </row>
    <row r="160" spans="3:8" s="190" customFormat="1">
      <c r="C160" s="191"/>
      <c r="D160" s="192"/>
      <c r="H160" s="191"/>
    </row>
    <row r="161" spans="3:8" s="190" customFormat="1">
      <c r="C161" s="191"/>
      <c r="D161" s="192"/>
      <c r="H161" s="191"/>
    </row>
    <row r="162" spans="3:8" s="190" customFormat="1">
      <c r="C162" s="191"/>
      <c r="D162" s="192"/>
      <c r="H162" s="191"/>
    </row>
    <row r="163" spans="3:8" s="190" customFormat="1">
      <c r="C163" s="191"/>
      <c r="D163" s="192"/>
      <c r="H163" s="191"/>
    </row>
    <row r="164" spans="3:8" s="190" customFormat="1">
      <c r="C164" s="191"/>
      <c r="D164" s="192"/>
      <c r="H164" s="191"/>
    </row>
    <row r="165" spans="3:8" s="190" customFormat="1">
      <c r="C165" s="191"/>
      <c r="D165" s="192"/>
      <c r="H165" s="191"/>
    </row>
    <row r="166" spans="3:8" s="190" customFormat="1">
      <c r="C166" s="191"/>
      <c r="D166" s="192"/>
      <c r="H166" s="191"/>
    </row>
    <row r="167" spans="3:8" s="190" customFormat="1">
      <c r="C167" s="191"/>
      <c r="D167" s="192"/>
      <c r="H167" s="191"/>
    </row>
    <row r="168" spans="3:8" s="190" customFormat="1">
      <c r="C168" s="191"/>
      <c r="D168" s="192"/>
      <c r="H168" s="191"/>
    </row>
    <row r="169" spans="3:8" s="190" customFormat="1">
      <c r="C169" s="191"/>
      <c r="D169" s="192"/>
      <c r="H169" s="191"/>
    </row>
    <row r="170" spans="3:8" s="190" customFormat="1">
      <c r="C170" s="191"/>
      <c r="D170" s="192"/>
      <c r="H170" s="191"/>
    </row>
    <row r="171" spans="3:8" s="190" customFormat="1">
      <c r="C171" s="191"/>
      <c r="D171" s="192"/>
      <c r="H171" s="191"/>
    </row>
    <row r="172" spans="3:8" s="190" customFormat="1">
      <c r="C172" s="191"/>
      <c r="D172" s="192"/>
      <c r="H172" s="191"/>
    </row>
    <row r="173" spans="3:8" s="190" customFormat="1">
      <c r="C173" s="191"/>
      <c r="D173" s="192"/>
      <c r="H173" s="191"/>
    </row>
    <row r="174" spans="3:8" s="190" customFormat="1">
      <c r="C174" s="191"/>
      <c r="D174" s="192"/>
      <c r="H174" s="191"/>
    </row>
    <row r="175" spans="3:8" s="190" customFormat="1">
      <c r="C175" s="191"/>
      <c r="D175" s="192"/>
      <c r="H175" s="191"/>
    </row>
    <row r="176" spans="3:8" s="190" customFormat="1">
      <c r="C176" s="191"/>
      <c r="D176" s="192"/>
      <c r="H176" s="191"/>
    </row>
    <row r="177" spans="3:8" s="190" customFormat="1">
      <c r="C177" s="191"/>
      <c r="D177" s="192"/>
      <c r="H177" s="191"/>
    </row>
    <row r="178" spans="3:8" s="190" customFormat="1">
      <c r="C178" s="191"/>
      <c r="D178" s="192"/>
      <c r="H178" s="191"/>
    </row>
    <row r="179" spans="3:8" s="190" customFormat="1">
      <c r="C179" s="191"/>
      <c r="D179" s="192"/>
      <c r="H179" s="191"/>
    </row>
    <row r="180" spans="3:8" s="190" customFormat="1">
      <c r="C180" s="191"/>
      <c r="D180" s="192"/>
      <c r="H180" s="191"/>
    </row>
    <row r="181" spans="3:8" s="190" customFormat="1">
      <c r="C181" s="191"/>
      <c r="D181" s="192"/>
      <c r="H181" s="191"/>
    </row>
    <row r="182" spans="3:8" s="190" customFormat="1">
      <c r="C182" s="191"/>
      <c r="D182" s="192"/>
      <c r="H182" s="191"/>
    </row>
    <row r="183" spans="3:8" s="190" customFormat="1">
      <c r="C183" s="191"/>
      <c r="D183" s="192"/>
      <c r="H183" s="191"/>
    </row>
    <row r="184" spans="3:8" s="190" customFormat="1">
      <c r="C184" s="191"/>
      <c r="D184" s="192"/>
      <c r="H184" s="191"/>
    </row>
    <row r="185" spans="3:8" s="190" customFormat="1">
      <c r="C185" s="191"/>
      <c r="D185" s="192"/>
      <c r="H185" s="191"/>
    </row>
    <row r="186" spans="3:8" s="190" customFormat="1">
      <c r="C186" s="191"/>
      <c r="D186" s="192"/>
      <c r="H186" s="191"/>
    </row>
    <row r="187" spans="3:8" s="190" customFormat="1">
      <c r="C187" s="191"/>
      <c r="D187" s="192"/>
      <c r="H187" s="191"/>
    </row>
    <row r="188" spans="3:8" s="190" customFormat="1">
      <c r="C188" s="191"/>
      <c r="D188" s="192"/>
      <c r="H188" s="191"/>
    </row>
    <row r="189" spans="3:8" s="190" customFormat="1">
      <c r="C189" s="191"/>
      <c r="D189" s="192"/>
      <c r="H189" s="191"/>
    </row>
    <row r="190" spans="3:8" s="190" customFormat="1">
      <c r="C190" s="191"/>
      <c r="D190" s="192"/>
      <c r="H190" s="191"/>
    </row>
    <row r="191" spans="3:8" s="190" customFormat="1">
      <c r="C191" s="191"/>
      <c r="D191" s="192"/>
      <c r="H191" s="191"/>
    </row>
    <row r="192" spans="3:8" s="190" customFormat="1">
      <c r="C192" s="191"/>
      <c r="D192" s="192"/>
      <c r="H192" s="191"/>
    </row>
    <row r="193" spans="3:8" s="190" customFormat="1">
      <c r="C193" s="191"/>
      <c r="D193" s="192"/>
      <c r="H193" s="191"/>
    </row>
    <row r="194" spans="3:8" s="190" customFormat="1">
      <c r="C194" s="191"/>
      <c r="D194" s="192"/>
      <c r="H194" s="191"/>
    </row>
    <row r="195" spans="3:8" s="190" customFormat="1">
      <c r="C195" s="191"/>
      <c r="D195" s="192"/>
      <c r="H195" s="191"/>
    </row>
    <row r="196" spans="3:8" s="190" customFormat="1">
      <c r="C196" s="191"/>
      <c r="D196" s="192"/>
      <c r="H196" s="191"/>
    </row>
    <row r="197" spans="3:8" s="190" customFormat="1">
      <c r="C197" s="191"/>
      <c r="D197" s="192"/>
      <c r="H197" s="191"/>
    </row>
    <row r="198" spans="3:8" s="190" customFormat="1">
      <c r="C198" s="191"/>
      <c r="D198" s="192"/>
      <c r="H198" s="191"/>
    </row>
    <row r="199" spans="3:8" s="190" customFormat="1">
      <c r="C199" s="191"/>
      <c r="D199" s="192"/>
      <c r="H199" s="191"/>
    </row>
    <row r="200" spans="3:8" s="190" customFormat="1">
      <c r="C200" s="191"/>
      <c r="D200" s="192"/>
      <c r="H200" s="191"/>
    </row>
    <row r="201" spans="3:8" s="190" customFormat="1">
      <c r="C201" s="191"/>
      <c r="D201" s="192"/>
      <c r="H201" s="191"/>
    </row>
    <row r="202" spans="3:8" s="190" customFormat="1">
      <c r="C202" s="191"/>
      <c r="D202" s="192"/>
      <c r="H202" s="191"/>
    </row>
    <row r="203" spans="3:8" s="190" customFormat="1">
      <c r="C203" s="191"/>
      <c r="D203" s="192"/>
      <c r="H203" s="191"/>
    </row>
    <row r="204" spans="3:8" s="190" customFormat="1">
      <c r="C204" s="191"/>
      <c r="D204" s="192"/>
      <c r="H204" s="191"/>
    </row>
    <row r="205" spans="3:8" s="190" customFormat="1">
      <c r="C205" s="191"/>
      <c r="D205" s="192"/>
      <c r="H205" s="191"/>
    </row>
    <row r="206" spans="3:8" s="190" customFormat="1">
      <c r="C206" s="191"/>
      <c r="D206" s="192"/>
      <c r="H206" s="191"/>
    </row>
    <row r="207" spans="3:8" s="190" customFormat="1">
      <c r="C207" s="191"/>
      <c r="D207" s="192"/>
      <c r="H207" s="191"/>
    </row>
    <row r="208" spans="3:8" s="190" customFormat="1">
      <c r="C208" s="191"/>
      <c r="D208" s="192"/>
      <c r="H208" s="191"/>
    </row>
    <row r="209" spans="3:8" s="190" customFormat="1">
      <c r="C209" s="191"/>
      <c r="D209" s="192"/>
      <c r="H209" s="191"/>
    </row>
    <row r="210" spans="3:8" s="190" customFormat="1">
      <c r="C210" s="191"/>
      <c r="D210" s="192"/>
      <c r="H210" s="191"/>
    </row>
    <row r="211" spans="3:8" s="190" customFormat="1">
      <c r="C211" s="191"/>
      <c r="D211" s="192"/>
      <c r="H211" s="191"/>
    </row>
    <row r="212" spans="3:8" s="190" customFormat="1">
      <c r="C212" s="191"/>
      <c r="D212" s="192"/>
      <c r="H212" s="191"/>
    </row>
    <row r="213" spans="3:8" s="190" customFormat="1">
      <c r="C213" s="191"/>
      <c r="D213" s="192"/>
      <c r="H213" s="191"/>
    </row>
    <row r="214" spans="3:8" s="190" customFormat="1">
      <c r="C214" s="191"/>
      <c r="D214" s="192"/>
      <c r="H214" s="191"/>
    </row>
    <row r="215" spans="3:8" s="190" customFormat="1">
      <c r="C215" s="191"/>
      <c r="D215" s="192"/>
      <c r="H215" s="191"/>
    </row>
    <row r="216" spans="3:8" s="190" customFormat="1">
      <c r="C216" s="191"/>
      <c r="D216" s="192"/>
      <c r="H216" s="191"/>
    </row>
    <row r="217" spans="3:8" s="190" customFormat="1">
      <c r="C217" s="191"/>
      <c r="D217" s="192"/>
      <c r="H217" s="191"/>
    </row>
    <row r="218" spans="3:8" s="190" customFormat="1">
      <c r="C218" s="191"/>
      <c r="D218" s="192"/>
      <c r="H218" s="191"/>
    </row>
    <row r="219" spans="3:8" s="190" customFormat="1">
      <c r="C219" s="191"/>
      <c r="D219" s="192"/>
      <c r="H219" s="191"/>
    </row>
    <row r="220" spans="3:8" s="190" customFormat="1">
      <c r="C220" s="191"/>
      <c r="D220" s="192"/>
      <c r="H220" s="191"/>
    </row>
    <row r="221" spans="3:8" s="190" customFormat="1">
      <c r="C221" s="191"/>
      <c r="D221" s="192"/>
      <c r="H221" s="191"/>
    </row>
    <row r="222" spans="3:8" s="190" customFormat="1">
      <c r="C222" s="191"/>
      <c r="D222" s="192"/>
      <c r="H222" s="191"/>
    </row>
    <row r="223" spans="3:8" s="190" customFormat="1">
      <c r="C223" s="191"/>
      <c r="D223" s="192"/>
      <c r="H223" s="191"/>
    </row>
    <row r="224" spans="3:8" s="190" customFormat="1">
      <c r="C224" s="191"/>
      <c r="D224" s="192"/>
      <c r="H224" s="191"/>
    </row>
    <row r="225" spans="3:8" s="190" customFormat="1">
      <c r="C225" s="191"/>
      <c r="D225" s="192"/>
      <c r="H225" s="191"/>
    </row>
    <row r="226" spans="3:8" s="190" customFormat="1">
      <c r="C226" s="191"/>
      <c r="D226" s="192"/>
      <c r="H226" s="191"/>
    </row>
    <row r="227" spans="3:8" s="190" customFormat="1">
      <c r="C227" s="191"/>
      <c r="D227" s="192"/>
      <c r="H227" s="191"/>
    </row>
    <row r="228" spans="3:8" s="190" customFormat="1">
      <c r="C228" s="191"/>
      <c r="D228" s="192"/>
      <c r="H228" s="191"/>
    </row>
    <row r="229" spans="3:8" s="190" customFormat="1">
      <c r="C229" s="191"/>
      <c r="D229" s="192"/>
      <c r="H229" s="191"/>
    </row>
    <row r="230" spans="3:8" s="190" customFormat="1">
      <c r="C230" s="191"/>
      <c r="D230" s="192"/>
      <c r="H230" s="191"/>
    </row>
    <row r="231" spans="3:8" s="190" customFormat="1">
      <c r="C231" s="191"/>
      <c r="D231" s="192"/>
      <c r="H231" s="191"/>
    </row>
    <row r="232" spans="3:8" s="190" customFormat="1">
      <c r="C232" s="191"/>
      <c r="D232" s="192"/>
      <c r="H232" s="191"/>
    </row>
    <row r="233" spans="3:8" s="190" customFormat="1">
      <c r="C233" s="191"/>
      <c r="D233" s="192"/>
      <c r="H233" s="191"/>
    </row>
    <row r="234" spans="3:8" s="190" customFormat="1">
      <c r="C234" s="191"/>
      <c r="D234" s="192"/>
      <c r="H234" s="191"/>
    </row>
    <row r="235" spans="3:8" s="190" customFormat="1">
      <c r="C235" s="191"/>
      <c r="D235" s="192"/>
      <c r="H235" s="191"/>
    </row>
    <row r="236" spans="3:8" s="190" customFormat="1">
      <c r="C236" s="191"/>
      <c r="D236" s="192"/>
      <c r="H236" s="191"/>
    </row>
    <row r="237" spans="3:8" s="190" customFormat="1">
      <c r="C237" s="191"/>
      <c r="D237" s="192"/>
      <c r="H237" s="191"/>
    </row>
    <row r="238" spans="3:8" s="190" customFormat="1">
      <c r="C238" s="191"/>
      <c r="D238" s="192"/>
      <c r="H238" s="191"/>
    </row>
    <row r="239" spans="3:8" s="190" customFormat="1">
      <c r="C239" s="191"/>
      <c r="D239" s="192"/>
      <c r="H239" s="191"/>
    </row>
    <row r="240" spans="3:8" s="190" customFormat="1">
      <c r="C240" s="191"/>
      <c r="D240" s="192"/>
      <c r="H240" s="191"/>
    </row>
    <row r="241" spans="3:8" s="190" customFormat="1">
      <c r="C241" s="191"/>
      <c r="D241" s="192"/>
      <c r="H241" s="191"/>
    </row>
    <row r="242" spans="3:8" s="190" customFormat="1">
      <c r="C242" s="191"/>
      <c r="D242" s="192"/>
      <c r="H242" s="191"/>
    </row>
    <row r="243" spans="3:8" s="190" customFormat="1">
      <c r="C243" s="191"/>
      <c r="D243" s="192"/>
      <c r="H243" s="191"/>
    </row>
    <row r="244" spans="3:8" s="190" customFormat="1">
      <c r="C244" s="191"/>
      <c r="D244" s="192"/>
      <c r="H244" s="191"/>
    </row>
    <row r="245" spans="3:8" s="190" customFormat="1">
      <c r="C245" s="191"/>
      <c r="D245" s="192"/>
      <c r="H245" s="191"/>
    </row>
    <row r="246" spans="3:8" s="190" customFormat="1">
      <c r="C246" s="191"/>
      <c r="D246" s="192"/>
      <c r="H246" s="191"/>
    </row>
    <row r="247" spans="3:8" s="190" customFormat="1">
      <c r="C247" s="191"/>
      <c r="D247" s="192"/>
      <c r="H247" s="191"/>
    </row>
    <row r="248" spans="3:8" s="190" customFormat="1">
      <c r="C248" s="191"/>
      <c r="D248" s="192"/>
      <c r="H248" s="191"/>
    </row>
    <row r="249" spans="3:8" s="190" customFormat="1">
      <c r="C249" s="191"/>
      <c r="D249" s="192"/>
      <c r="H249" s="191"/>
    </row>
    <row r="250" spans="3:8" s="190" customFormat="1">
      <c r="C250" s="191"/>
      <c r="D250" s="192"/>
      <c r="H250" s="191"/>
    </row>
    <row r="251" spans="3:8" s="190" customFormat="1">
      <c r="C251" s="191"/>
      <c r="D251" s="192"/>
      <c r="H251" s="191"/>
    </row>
    <row r="252" spans="3:8" s="190" customFormat="1">
      <c r="C252" s="191"/>
      <c r="D252" s="192"/>
      <c r="H252" s="191"/>
    </row>
    <row r="253" spans="3:8" s="190" customFormat="1">
      <c r="C253" s="191"/>
      <c r="D253" s="192"/>
      <c r="H253" s="191"/>
    </row>
    <row r="254" spans="3:8" s="190" customFormat="1">
      <c r="C254" s="191"/>
      <c r="D254" s="192"/>
      <c r="H254" s="191"/>
    </row>
    <row r="255" spans="3:8" s="190" customFormat="1">
      <c r="C255" s="191"/>
      <c r="D255" s="192"/>
      <c r="H255" s="191"/>
    </row>
    <row r="256" spans="3:8" s="190" customFormat="1">
      <c r="C256" s="191"/>
      <c r="D256" s="192"/>
      <c r="H256" s="191"/>
    </row>
    <row r="257" spans="3:8" s="190" customFormat="1">
      <c r="C257" s="191"/>
      <c r="D257" s="192"/>
      <c r="H257" s="191"/>
    </row>
    <row r="258" spans="3:8" s="190" customFormat="1">
      <c r="C258" s="191"/>
      <c r="D258" s="192"/>
      <c r="H258" s="191"/>
    </row>
    <row r="259" spans="3:8" s="190" customFormat="1">
      <c r="C259" s="191"/>
      <c r="D259" s="192"/>
      <c r="H259" s="191"/>
    </row>
    <row r="260" spans="3:8" s="190" customFormat="1">
      <c r="C260" s="191"/>
      <c r="D260" s="192"/>
      <c r="H260" s="191"/>
    </row>
    <row r="261" spans="3:8" s="190" customFormat="1">
      <c r="C261" s="191"/>
      <c r="D261" s="192"/>
      <c r="H261" s="191"/>
    </row>
    <row r="262" spans="3:8" s="190" customFormat="1">
      <c r="C262" s="191"/>
      <c r="D262" s="192"/>
      <c r="H262" s="191"/>
    </row>
    <row r="263" spans="3:8" s="190" customFormat="1">
      <c r="C263" s="191"/>
      <c r="D263" s="192"/>
      <c r="H263" s="191"/>
    </row>
    <row r="264" spans="3:8" s="190" customFormat="1">
      <c r="C264" s="191"/>
      <c r="D264" s="192"/>
      <c r="H264" s="191"/>
    </row>
    <row r="265" spans="3:8" s="190" customFormat="1">
      <c r="C265" s="191"/>
      <c r="D265" s="192"/>
      <c r="H265" s="191"/>
    </row>
    <row r="266" spans="3:8" s="190" customFormat="1">
      <c r="C266" s="191"/>
      <c r="D266" s="192"/>
      <c r="H266" s="191"/>
    </row>
    <row r="267" spans="3:8" s="190" customFormat="1">
      <c r="C267" s="191"/>
      <c r="D267" s="192"/>
      <c r="H267" s="191"/>
    </row>
    <row r="268" spans="3:8" s="190" customFormat="1">
      <c r="C268" s="191"/>
      <c r="D268" s="192"/>
      <c r="H268" s="191"/>
    </row>
    <row r="269" spans="3:8" s="190" customFormat="1">
      <c r="C269" s="191"/>
      <c r="D269" s="192"/>
      <c r="H269" s="191"/>
    </row>
    <row r="270" spans="3:8" s="190" customFormat="1">
      <c r="C270" s="191"/>
      <c r="D270" s="192"/>
      <c r="H270" s="191"/>
    </row>
    <row r="271" spans="3:8" s="190" customFormat="1">
      <c r="C271" s="191"/>
      <c r="D271" s="192"/>
      <c r="H271" s="191"/>
    </row>
    <row r="272" spans="3:8" s="190" customFormat="1">
      <c r="C272" s="191"/>
      <c r="D272" s="192"/>
      <c r="H272" s="191"/>
    </row>
    <row r="273" spans="3:8" s="190" customFormat="1">
      <c r="C273" s="191"/>
      <c r="D273" s="192"/>
      <c r="H273" s="191"/>
    </row>
    <row r="274" spans="3:8" s="190" customFormat="1">
      <c r="C274" s="191"/>
      <c r="D274" s="192"/>
      <c r="H274" s="191"/>
    </row>
    <row r="275" spans="3:8" s="190" customFormat="1">
      <c r="C275" s="191"/>
      <c r="D275" s="192"/>
      <c r="H275" s="191"/>
    </row>
    <row r="276" spans="3:8" s="190" customFormat="1">
      <c r="C276" s="191"/>
      <c r="D276" s="192"/>
      <c r="H276" s="191"/>
    </row>
    <row r="277" spans="3:8" s="190" customFormat="1">
      <c r="C277" s="191"/>
      <c r="D277" s="192"/>
      <c r="H277" s="191"/>
    </row>
    <row r="278" spans="3:8" s="190" customFormat="1">
      <c r="C278" s="191"/>
      <c r="D278" s="192"/>
      <c r="H278" s="191"/>
    </row>
    <row r="279" spans="3:8" s="190" customFormat="1">
      <c r="C279" s="191"/>
      <c r="D279" s="192"/>
      <c r="H279" s="191"/>
    </row>
    <row r="280" spans="3:8" s="190" customFormat="1">
      <c r="C280" s="191"/>
      <c r="D280" s="192"/>
      <c r="H280" s="191"/>
    </row>
    <row r="281" spans="3:8" s="190" customFormat="1">
      <c r="C281" s="191"/>
      <c r="D281" s="192"/>
      <c r="H281" s="191"/>
    </row>
    <row r="282" spans="3:8" s="190" customFormat="1">
      <c r="C282" s="191"/>
      <c r="D282" s="192"/>
      <c r="H282" s="191"/>
    </row>
    <row r="283" spans="3:8" s="190" customFormat="1">
      <c r="C283" s="191"/>
      <c r="D283" s="192"/>
      <c r="H283" s="191"/>
    </row>
    <row r="284" spans="3:8" s="190" customFormat="1">
      <c r="C284" s="191"/>
      <c r="D284" s="192"/>
      <c r="H284" s="191"/>
    </row>
    <row r="285" spans="3:8" s="190" customFormat="1">
      <c r="C285" s="191"/>
      <c r="D285" s="192"/>
      <c r="H285" s="191"/>
    </row>
    <row r="286" spans="3:8" s="190" customFormat="1">
      <c r="C286" s="191"/>
      <c r="D286" s="192"/>
      <c r="H286" s="191"/>
    </row>
    <row r="287" spans="3:8" s="190" customFormat="1">
      <c r="C287" s="191"/>
      <c r="D287" s="192"/>
      <c r="H287" s="191"/>
    </row>
    <row r="288" spans="3:8" s="190" customFormat="1">
      <c r="C288" s="191"/>
      <c r="D288" s="192"/>
      <c r="H288" s="191"/>
    </row>
    <row r="289" spans="3:8" s="190" customFormat="1">
      <c r="C289" s="191"/>
      <c r="D289" s="192"/>
      <c r="H289" s="191"/>
    </row>
    <row r="290" spans="3:8" s="190" customFormat="1">
      <c r="C290" s="191"/>
      <c r="D290" s="192"/>
      <c r="H290" s="191"/>
    </row>
    <row r="291" spans="3:8" s="190" customFormat="1">
      <c r="C291" s="191"/>
      <c r="D291" s="192"/>
      <c r="H291" s="191"/>
    </row>
    <row r="292" spans="3:8" s="190" customFormat="1">
      <c r="C292" s="191"/>
      <c r="D292" s="192"/>
      <c r="H292" s="191"/>
    </row>
    <row r="293" spans="3:8" s="190" customFormat="1">
      <c r="C293" s="191"/>
      <c r="D293" s="192"/>
      <c r="H293" s="191"/>
    </row>
    <row r="294" spans="3:8" s="190" customFormat="1">
      <c r="C294" s="191"/>
      <c r="D294" s="192"/>
      <c r="H294" s="191"/>
    </row>
    <row r="295" spans="3:8" s="190" customFormat="1">
      <c r="C295" s="191"/>
      <c r="D295" s="192"/>
      <c r="H295" s="191"/>
    </row>
    <row r="296" spans="3:8" s="190" customFormat="1">
      <c r="C296" s="191"/>
      <c r="D296" s="192"/>
      <c r="H296" s="191"/>
    </row>
    <row r="297" spans="3:8" s="190" customFormat="1">
      <c r="C297" s="191"/>
      <c r="D297" s="192"/>
      <c r="H297" s="191"/>
    </row>
    <row r="298" spans="3:8" s="190" customFormat="1">
      <c r="C298" s="191"/>
      <c r="D298" s="192"/>
      <c r="H298" s="191"/>
    </row>
    <row r="299" spans="3:8" s="190" customFormat="1">
      <c r="C299" s="191"/>
      <c r="D299" s="192"/>
      <c r="H299" s="191"/>
    </row>
    <row r="300" spans="3:8" s="190" customFormat="1">
      <c r="C300" s="191"/>
      <c r="D300" s="192"/>
      <c r="H300" s="191"/>
    </row>
    <row r="301" spans="3:8" s="190" customFormat="1">
      <c r="C301" s="191"/>
      <c r="D301" s="192"/>
      <c r="H301" s="191"/>
    </row>
    <row r="302" spans="3:8" s="190" customFormat="1">
      <c r="C302" s="191"/>
      <c r="D302" s="192"/>
      <c r="H302" s="191"/>
    </row>
    <row r="303" spans="3:8" s="190" customFormat="1">
      <c r="C303" s="191"/>
      <c r="D303" s="192"/>
      <c r="H303" s="191"/>
    </row>
    <row r="304" spans="3:8" s="190" customFormat="1">
      <c r="C304" s="191"/>
      <c r="D304" s="192"/>
      <c r="H304" s="191"/>
    </row>
    <row r="305" spans="3:8" s="190" customFormat="1">
      <c r="C305" s="191"/>
      <c r="D305" s="192"/>
      <c r="H305" s="191"/>
    </row>
    <row r="306" spans="3:8" s="190" customFormat="1">
      <c r="C306" s="191"/>
      <c r="D306" s="192"/>
      <c r="H306" s="191"/>
    </row>
    <row r="307" spans="3:8" s="190" customFormat="1">
      <c r="C307" s="191"/>
      <c r="D307" s="192"/>
      <c r="H307" s="191"/>
    </row>
    <row r="308" spans="3:8" s="190" customFormat="1">
      <c r="C308" s="191"/>
      <c r="D308" s="192"/>
      <c r="H308" s="191"/>
    </row>
    <row r="309" spans="3:8" s="190" customFormat="1">
      <c r="C309" s="191"/>
      <c r="D309" s="192"/>
      <c r="H309" s="191"/>
    </row>
    <row r="310" spans="3:8" s="190" customFormat="1">
      <c r="C310" s="191"/>
      <c r="D310" s="192"/>
      <c r="H310" s="191"/>
    </row>
    <row r="311" spans="3:8" s="190" customFormat="1">
      <c r="C311" s="191"/>
      <c r="D311" s="192"/>
      <c r="H311" s="191"/>
    </row>
    <row r="312" spans="3:8" s="190" customFormat="1">
      <c r="C312" s="191"/>
      <c r="D312" s="192"/>
      <c r="H312" s="191"/>
    </row>
    <row r="313" spans="3:8" s="190" customFormat="1">
      <c r="C313" s="191"/>
      <c r="D313" s="192"/>
      <c r="H313" s="191"/>
    </row>
    <row r="314" spans="3:8" s="190" customFormat="1">
      <c r="C314" s="191"/>
      <c r="D314" s="192"/>
      <c r="H314" s="191"/>
    </row>
    <row r="315" spans="3:8" s="190" customFormat="1">
      <c r="C315" s="191"/>
      <c r="D315" s="192"/>
      <c r="H315" s="191"/>
    </row>
    <row r="316" spans="3:8" s="190" customFormat="1">
      <c r="C316" s="191"/>
      <c r="D316" s="192"/>
      <c r="H316" s="191"/>
    </row>
    <row r="317" spans="3:8" s="190" customFormat="1">
      <c r="C317" s="191"/>
      <c r="D317" s="192"/>
      <c r="H317" s="191"/>
    </row>
    <row r="318" spans="3:8" s="190" customFormat="1">
      <c r="C318" s="191"/>
      <c r="D318" s="192"/>
      <c r="H318" s="191"/>
    </row>
    <row r="319" spans="3:8" s="190" customFormat="1">
      <c r="C319" s="191"/>
      <c r="D319" s="192"/>
      <c r="H319" s="191"/>
    </row>
    <row r="320" spans="3:8" s="190" customFormat="1">
      <c r="C320" s="191"/>
      <c r="D320" s="192"/>
      <c r="H320" s="191"/>
    </row>
    <row r="321" spans="3:8" s="190" customFormat="1">
      <c r="C321" s="191"/>
      <c r="D321" s="192"/>
      <c r="H321" s="191"/>
    </row>
    <row r="322" spans="3:8" s="190" customFormat="1">
      <c r="C322" s="191"/>
      <c r="D322" s="192"/>
      <c r="H322" s="191"/>
    </row>
    <row r="323" spans="3:8" s="190" customFormat="1">
      <c r="C323" s="191"/>
      <c r="D323" s="192"/>
      <c r="H323" s="191"/>
    </row>
    <row r="324" spans="3:8" s="190" customFormat="1">
      <c r="C324" s="191"/>
      <c r="D324" s="192"/>
      <c r="H324" s="191"/>
    </row>
    <row r="325" spans="3:8" s="190" customFormat="1">
      <c r="C325" s="191"/>
      <c r="D325" s="192"/>
      <c r="H325" s="191"/>
    </row>
    <row r="326" spans="3:8" s="190" customFormat="1">
      <c r="C326" s="191"/>
      <c r="D326" s="192"/>
      <c r="H326" s="191"/>
    </row>
    <row r="327" spans="3:8" s="190" customFormat="1">
      <c r="C327" s="191"/>
      <c r="D327" s="192"/>
      <c r="H327" s="191"/>
    </row>
    <row r="328" spans="3:8" s="190" customFormat="1">
      <c r="C328" s="191"/>
      <c r="D328" s="192"/>
      <c r="H328" s="191"/>
    </row>
    <row r="329" spans="3:8" s="190" customFormat="1">
      <c r="C329" s="191"/>
      <c r="D329" s="192"/>
      <c r="H329" s="191"/>
    </row>
    <row r="330" spans="3:8" s="190" customFormat="1">
      <c r="C330" s="191"/>
      <c r="D330" s="192"/>
      <c r="H330" s="191"/>
    </row>
    <row r="331" spans="3:8" s="190" customFormat="1">
      <c r="C331" s="191"/>
      <c r="D331" s="192"/>
      <c r="H331" s="191"/>
    </row>
    <row r="332" spans="3:8" s="190" customFormat="1">
      <c r="C332" s="191"/>
      <c r="D332" s="192"/>
      <c r="H332" s="191"/>
    </row>
    <row r="333" spans="3:8" s="190" customFormat="1">
      <c r="C333" s="191"/>
      <c r="D333" s="192"/>
      <c r="H333" s="191"/>
    </row>
    <row r="334" spans="3:8" s="190" customFormat="1">
      <c r="C334" s="191"/>
      <c r="D334" s="192"/>
      <c r="H334" s="191"/>
    </row>
    <row r="335" spans="3:8" s="190" customFormat="1">
      <c r="C335" s="191"/>
      <c r="D335" s="192"/>
      <c r="H335" s="191"/>
    </row>
    <row r="336" spans="3:8" s="190" customFormat="1">
      <c r="C336" s="191"/>
      <c r="D336" s="192"/>
      <c r="H336" s="191"/>
    </row>
    <row r="337" spans="3:8" s="190" customFormat="1">
      <c r="C337" s="191"/>
      <c r="D337" s="192"/>
      <c r="H337" s="191"/>
    </row>
    <row r="338" spans="3:8" s="190" customFormat="1">
      <c r="C338" s="191"/>
      <c r="D338" s="192"/>
      <c r="H338" s="191"/>
    </row>
    <row r="339" spans="3:8" s="190" customFormat="1">
      <c r="C339" s="191"/>
      <c r="D339" s="192"/>
      <c r="H339" s="191"/>
    </row>
    <row r="340" spans="3:8" s="190" customFormat="1">
      <c r="C340" s="191"/>
      <c r="D340" s="192"/>
      <c r="H340" s="191"/>
    </row>
    <row r="341" spans="3:8" s="190" customFormat="1">
      <c r="C341" s="191"/>
      <c r="D341" s="192"/>
      <c r="H341" s="191"/>
    </row>
    <row r="342" spans="3:8" s="190" customFormat="1">
      <c r="C342" s="191"/>
      <c r="D342" s="192"/>
      <c r="H342" s="191"/>
    </row>
    <row r="343" spans="3:8" s="190" customFormat="1">
      <c r="C343" s="191"/>
      <c r="D343" s="192"/>
      <c r="H343" s="191"/>
    </row>
    <row r="344" spans="3:8" s="190" customFormat="1">
      <c r="C344" s="191"/>
      <c r="D344" s="192"/>
      <c r="H344" s="191"/>
    </row>
    <row r="345" spans="3:8" s="190" customFormat="1">
      <c r="C345" s="191"/>
      <c r="D345" s="192"/>
      <c r="H345" s="191"/>
    </row>
    <row r="346" spans="3:8" s="190" customFormat="1">
      <c r="C346" s="191"/>
      <c r="D346" s="192"/>
      <c r="H346" s="191"/>
    </row>
    <row r="347" spans="3:8" s="190" customFormat="1">
      <c r="C347" s="191"/>
      <c r="D347" s="192"/>
      <c r="H347" s="191"/>
    </row>
    <row r="348" spans="3:8" s="190" customFormat="1">
      <c r="C348" s="191"/>
      <c r="D348" s="192"/>
      <c r="H348" s="191"/>
    </row>
    <row r="349" spans="3:8" s="190" customFormat="1">
      <c r="C349" s="191"/>
      <c r="D349" s="192"/>
      <c r="H349" s="191"/>
    </row>
    <row r="350" spans="3:8" s="190" customFormat="1">
      <c r="C350" s="191"/>
      <c r="D350" s="192"/>
      <c r="H350" s="191"/>
    </row>
    <row r="351" spans="3:8" s="190" customFormat="1">
      <c r="C351" s="191"/>
      <c r="D351" s="192"/>
      <c r="H351" s="191"/>
    </row>
    <row r="352" spans="3:8" s="190" customFormat="1">
      <c r="C352" s="191"/>
      <c r="D352" s="192"/>
      <c r="H352" s="191"/>
    </row>
    <row r="353" spans="3:8" s="190" customFormat="1">
      <c r="C353" s="191"/>
      <c r="D353" s="192"/>
      <c r="H353" s="191"/>
    </row>
    <row r="354" spans="3:8" s="190" customFormat="1">
      <c r="C354" s="191"/>
      <c r="D354" s="192"/>
      <c r="H354" s="191"/>
    </row>
    <row r="355" spans="3:8" s="190" customFormat="1">
      <c r="C355" s="191"/>
      <c r="D355" s="192"/>
      <c r="H355" s="191"/>
    </row>
    <row r="356" spans="3:8" s="190" customFormat="1">
      <c r="C356" s="191"/>
      <c r="D356" s="192"/>
      <c r="H356" s="191"/>
    </row>
    <row r="357" spans="3:8" s="190" customFormat="1">
      <c r="C357" s="191"/>
      <c r="D357" s="192"/>
      <c r="H357" s="191"/>
    </row>
    <row r="358" spans="3:8" s="190" customFormat="1">
      <c r="C358" s="191"/>
      <c r="D358" s="192"/>
      <c r="H358" s="191"/>
    </row>
    <row r="359" spans="3:8" s="190" customFormat="1">
      <c r="C359" s="191"/>
      <c r="D359" s="192"/>
      <c r="H359" s="191"/>
    </row>
    <row r="360" spans="3:8" s="190" customFormat="1">
      <c r="C360" s="191"/>
      <c r="D360" s="192"/>
      <c r="H360" s="191"/>
    </row>
    <row r="361" spans="3:8" s="190" customFormat="1">
      <c r="C361" s="191"/>
      <c r="D361" s="192"/>
      <c r="H361" s="191"/>
    </row>
    <row r="362" spans="3:8" s="190" customFormat="1">
      <c r="C362" s="191"/>
      <c r="D362" s="192"/>
      <c r="H362" s="191"/>
    </row>
    <row r="363" spans="3:8" s="190" customFormat="1">
      <c r="C363" s="191"/>
      <c r="D363" s="192"/>
      <c r="H363" s="191"/>
    </row>
    <row r="364" spans="3:8" s="190" customFormat="1">
      <c r="C364" s="191"/>
      <c r="D364" s="192"/>
      <c r="H364" s="191"/>
    </row>
    <row r="365" spans="3:8" s="190" customFormat="1">
      <c r="C365" s="191"/>
      <c r="D365" s="192"/>
      <c r="H365" s="191"/>
    </row>
    <row r="366" spans="3:8" s="190" customFormat="1">
      <c r="C366" s="191"/>
      <c r="D366" s="192"/>
      <c r="H366" s="191"/>
    </row>
    <row r="367" spans="3:8" s="190" customFormat="1">
      <c r="C367" s="191"/>
      <c r="D367" s="192"/>
      <c r="H367" s="191"/>
    </row>
    <row r="368" spans="3:8" s="190" customFormat="1">
      <c r="C368" s="191"/>
      <c r="D368" s="192"/>
      <c r="H368" s="191"/>
    </row>
    <row r="369" spans="2:8" s="190" customFormat="1">
      <c r="C369" s="191"/>
      <c r="D369" s="192"/>
      <c r="H369" s="191"/>
    </row>
    <row r="370" spans="2:8" s="190" customFormat="1">
      <c r="C370" s="191"/>
      <c r="D370" s="192"/>
      <c r="H370" s="191"/>
    </row>
    <row r="371" spans="2:8" s="190" customFormat="1">
      <c r="C371" s="191"/>
      <c r="D371" s="192"/>
      <c r="H371" s="191"/>
    </row>
    <row r="372" spans="2:8" s="190" customFormat="1">
      <c r="C372" s="191"/>
      <c r="D372" s="192"/>
      <c r="H372" s="191"/>
    </row>
    <row r="373" spans="2:8" s="190" customFormat="1">
      <c r="C373" s="191"/>
      <c r="D373" s="192"/>
      <c r="H373" s="191"/>
    </row>
    <row r="374" spans="2:8">
      <c r="B374" s="190"/>
      <c r="C374" s="191"/>
      <c r="D374" s="192"/>
      <c r="E374" s="190"/>
      <c r="F374" s="190"/>
      <c r="G374" s="190"/>
      <c r="H374" s="191"/>
    </row>
  </sheetData>
  <sheetProtection algorithmName="SHA-512" hashValue="OUzIrguGGW+hfbKPo3sQEkMQ3pnrdAENCHqOPEsAzlbZufYiwUCDAEKpQzjLVzSa5auEHpYy2aO0ly+sAfebQA==" saltValue="m9jngjN1KTgOQFJTfMu77A==" spinCount="100000" sheet="1" objects="1" scenarios="1" formatCells="0" formatColumns="0" formatRows="0"/>
  <mergeCells count="11">
    <mergeCell ref="B72:D72"/>
    <mergeCell ref="B54:D54"/>
    <mergeCell ref="H69:H70"/>
    <mergeCell ref="B8:H8"/>
    <mergeCell ref="B24:C24"/>
    <mergeCell ref="B26:C26"/>
    <mergeCell ref="B28:C28"/>
    <mergeCell ref="B36:C36"/>
    <mergeCell ref="B46:C46"/>
    <mergeCell ref="B62:D62"/>
    <mergeCell ref="B68:C68"/>
  </mergeCells>
  <conditionalFormatting sqref="E18">
    <cfRule type="containsText" dxfId="6" priority="4" operator="containsText" text="Introduce value">
      <formula>NOT(ISERROR(SEARCH("Introduce value",#REF!)))</formula>
    </cfRule>
  </conditionalFormatting>
  <conditionalFormatting sqref="E22">
    <cfRule type="containsText" dxfId="5" priority="1" operator="containsText" text="Introduce value">
      <formula>NOT(ISERROR(SEARCH("Introduce value",#REF!)))</formula>
    </cfRule>
  </conditionalFormatting>
  <conditionalFormatting sqref="E20">
    <cfRule type="containsText" dxfId="4" priority="2" operator="containsText" text="Introduce value">
      <formula>NOT(ISERROR(SEARCH("Introduce value",#REF!)))</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398A-AB0B-42D4-A86D-0348D4507ED7}">
  <dimension ref="A1:DQ445"/>
  <sheetViews>
    <sheetView zoomScaleNormal="100" workbookViewId="0"/>
  </sheetViews>
  <sheetFormatPr defaultColWidth="8.7265625" defaultRowHeight="12.6"/>
  <cols>
    <col min="1" max="1" width="1.6328125" style="52" customWidth="1"/>
    <col min="2" max="2" width="50.6328125" style="58" customWidth="1"/>
    <col min="3" max="3" width="25.6328125" style="58" customWidth="1"/>
    <col min="4" max="4" width="80.6328125" style="58" customWidth="1"/>
    <col min="5" max="5" width="10.6328125" style="58" customWidth="1"/>
    <col min="6" max="6" width="15.6328125" style="58" customWidth="1"/>
    <col min="7" max="7" width="1.6328125" style="58" customWidth="1"/>
    <col min="8" max="8" width="20.6328125" style="58" customWidth="1"/>
    <col min="9" max="11" width="12.90625" style="58" customWidth="1"/>
    <col min="12" max="12" width="12.90625" style="53" customWidth="1"/>
    <col min="13" max="13" width="12.90625" style="54" customWidth="1"/>
    <col min="14" max="28" width="12.90625" style="52" customWidth="1"/>
    <col min="29" max="119" width="8.7265625" style="52"/>
    <col min="120" max="16384" width="8.7265625" style="58"/>
  </cols>
  <sheetData>
    <row r="1" spans="1:28" s="52" customFormat="1">
      <c r="L1" s="53"/>
      <c r="M1" s="54"/>
    </row>
    <row r="2" spans="1:28" ht="45.75" customHeight="1">
      <c r="A2" s="55"/>
      <c r="B2" s="491" t="s">
        <v>191</v>
      </c>
      <c r="C2" s="491"/>
      <c r="D2" s="491"/>
      <c r="E2" s="56"/>
      <c r="F2" s="56"/>
      <c r="G2" s="56"/>
      <c r="H2" s="56"/>
      <c r="I2" s="56"/>
      <c r="J2" s="56"/>
      <c r="K2" s="56"/>
      <c r="L2" s="57"/>
    </row>
    <row r="3" spans="1:28" ht="13.2">
      <c r="A3" s="55"/>
      <c r="B3" s="59"/>
      <c r="C3" s="59"/>
      <c r="D3" s="55"/>
      <c r="E3" s="55"/>
      <c r="F3" s="55"/>
      <c r="G3" s="55"/>
      <c r="H3" s="55"/>
      <c r="I3" s="55"/>
      <c r="J3" s="55"/>
      <c r="K3" s="55"/>
      <c r="L3" s="57"/>
    </row>
    <row r="4" spans="1:28" ht="18" customHeight="1">
      <c r="A4" s="55"/>
      <c r="B4" s="492" t="s">
        <v>349</v>
      </c>
      <c r="C4" s="492"/>
      <c r="D4" s="492"/>
      <c r="E4" s="492"/>
      <c r="F4" s="492"/>
      <c r="G4" s="306"/>
      <c r="H4" s="60"/>
      <c r="I4" s="60"/>
      <c r="J4" s="60"/>
      <c r="K4" s="61"/>
      <c r="L4" s="55"/>
      <c r="M4" s="55"/>
      <c r="N4" s="55"/>
      <c r="O4" s="55"/>
      <c r="P4" s="55"/>
      <c r="Q4" s="55"/>
      <c r="R4" s="55"/>
      <c r="S4" s="55"/>
      <c r="T4" s="55"/>
      <c r="U4" s="55"/>
      <c r="V4" s="55"/>
      <c r="W4" s="55"/>
      <c r="X4" s="55"/>
      <c r="Y4" s="55"/>
      <c r="Z4" s="55"/>
      <c r="AA4" s="55"/>
      <c r="AB4" s="55"/>
    </row>
    <row r="5" spans="1:28" ht="16.2">
      <c r="A5" s="55"/>
      <c r="B5" s="62"/>
      <c r="C5" s="62"/>
      <c r="D5" s="63"/>
      <c r="E5" s="63"/>
      <c r="F5" s="63"/>
      <c r="G5" s="63"/>
      <c r="H5" s="63"/>
      <c r="I5" s="63"/>
      <c r="J5" s="63"/>
      <c r="K5" s="55"/>
      <c r="L5" s="55"/>
    </row>
    <row r="6" spans="1:28" s="52" customFormat="1" ht="14.25" customHeight="1">
      <c r="A6" s="55"/>
      <c r="B6" s="310" t="s">
        <v>118</v>
      </c>
      <c r="C6" s="49"/>
      <c r="D6" s="49"/>
      <c r="E6" s="49"/>
      <c r="F6" s="49"/>
      <c r="G6" s="158"/>
      <c r="H6" s="158"/>
      <c r="I6" s="64"/>
      <c r="J6" s="64"/>
      <c r="K6" s="64"/>
      <c r="L6" s="64"/>
      <c r="M6" s="54"/>
    </row>
    <row r="7" spans="1:28" s="52" customFormat="1" ht="14.25" customHeight="1">
      <c r="A7" s="55"/>
      <c r="B7" s="309" t="s">
        <v>119</v>
      </c>
      <c r="C7" s="158"/>
      <c r="D7" s="158"/>
      <c r="E7" s="158"/>
      <c r="F7" s="158"/>
      <c r="G7" s="158"/>
      <c r="H7" s="158"/>
      <c r="I7" s="64"/>
      <c r="J7" s="64"/>
      <c r="K7" s="64"/>
      <c r="L7" s="64"/>
      <c r="M7" s="54"/>
    </row>
    <row r="8" spans="1:28" s="52" customFormat="1" ht="14.25" customHeight="1">
      <c r="A8" s="55"/>
      <c r="B8" s="309" t="s">
        <v>49</v>
      </c>
      <c r="C8" s="158"/>
      <c r="D8" s="158"/>
      <c r="E8" s="158"/>
      <c r="F8" s="158"/>
      <c r="G8" s="158"/>
      <c r="H8" s="158"/>
      <c r="I8" s="64"/>
      <c r="J8" s="64"/>
      <c r="K8" s="64"/>
      <c r="L8" s="64"/>
      <c r="M8" s="54"/>
    </row>
    <row r="9" spans="1:28" s="52" customFormat="1" ht="14.25" customHeight="1">
      <c r="A9" s="55"/>
      <c r="B9" s="309" t="s">
        <v>120</v>
      </c>
      <c r="C9" s="158"/>
      <c r="D9" s="158"/>
      <c r="E9" s="158"/>
      <c r="F9" s="158"/>
      <c r="G9" s="158"/>
      <c r="H9" s="158"/>
      <c r="I9" s="64"/>
      <c r="J9" s="64"/>
      <c r="K9" s="64"/>
      <c r="L9" s="64"/>
      <c r="M9" s="54"/>
    </row>
    <row r="10" spans="1:28" s="52" customFormat="1" ht="14.25" customHeight="1">
      <c r="A10" s="55"/>
      <c r="B10" s="496" t="s">
        <v>121</v>
      </c>
      <c r="C10" s="496"/>
      <c r="D10" s="496"/>
      <c r="E10" s="496"/>
      <c r="F10" s="496"/>
      <c r="G10" s="496"/>
      <c r="H10" s="158"/>
      <c r="I10" s="64"/>
      <c r="J10" s="64"/>
      <c r="K10" s="64"/>
      <c r="L10" s="64"/>
      <c r="M10" s="54"/>
    </row>
    <row r="11" spans="1:28" s="52" customFormat="1" ht="14.25" customHeight="1">
      <c r="A11" s="55"/>
      <c r="B11" s="309" t="s">
        <v>323</v>
      </c>
      <c r="C11" s="65"/>
      <c r="D11" s="65"/>
      <c r="E11" s="65"/>
      <c r="F11" s="65"/>
      <c r="G11" s="65"/>
      <c r="H11" s="158"/>
      <c r="I11" s="64"/>
      <c r="J11" s="64"/>
      <c r="K11" s="64"/>
      <c r="L11" s="64"/>
      <c r="M11" s="54"/>
    </row>
    <row r="12" spans="1:28" s="52" customFormat="1" ht="14.25" customHeight="1">
      <c r="A12" s="55"/>
      <c r="B12" s="496" t="s">
        <v>122</v>
      </c>
      <c r="C12" s="496"/>
      <c r="D12" s="496"/>
      <c r="E12" s="496"/>
      <c r="F12" s="496"/>
      <c r="G12" s="496"/>
      <c r="H12" s="158"/>
      <c r="I12" s="64"/>
      <c r="J12" s="64"/>
      <c r="K12" s="64"/>
      <c r="L12" s="64"/>
      <c r="M12" s="54"/>
    </row>
    <row r="13" spans="1:28" s="52" customFormat="1" ht="14.25" customHeight="1">
      <c r="A13" s="55"/>
      <c r="B13" s="309" t="s">
        <v>324</v>
      </c>
      <c r="C13" s="65"/>
      <c r="D13" s="65"/>
      <c r="E13" s="65"/>
      <c r="F13" s="65"/>
      <c r="G13" s="65"/>
      <c r="H13" s="158"/>
      <c r="I13" s="64"/>
      <c r="J13" s="64"/>
      <c r="K13" s="64"/>
      <c r="L13" s="64"/>
      <c r="M13" s="54"/>
    </row>
    <row r="14" spans="1:28" s="52" customFormat="1" ht="14.25" customHeight="1">
      <c r="A14" s="55"/>
      <c r="B14" s="309" t="s">
        <v>123</v>
      </c>
      <c r="C14" s="65"/>
      <c r="D14" s="65"/>
      <c r="E14" s="65"/>
      <c r="F14" s="65"/>
      <c r="G14" s="65"/>
      <c r="H14" s="158"/>
      <c r="I14" s="64"/>
      <c r="J14" s="64"/>
      <c r="K14" s="64"/>
      <c r="L14" s="64"/>
      <c r="M14" s="54"/>
    </row>
    <row r="15" spans="1:28" s="52" customFormat="1" ht="14.25" customHeight="1">
      <c r="A15" s="55"/>
      <c r="B15" s="65"/>
      <c r="C15" s="311"/>
      <c r="D15" s="311"/>
      <c r="E15" s="311"/>
      <c r="F15" s="311"/>
      <c r="G15" s="311"/>
      <c r="H15" s="158"/>
      <c r="I15" s="64"/>
      <c r="J15" s="64"/>
      <c r="K15" s="64"/>
      <c r="L15" s="64"/>
      <c r="M15" s="54"/>
    </row>
    <row r="16" spans="1:28" s="67" customFormat="1" ht="13.8">
      <c r="A16" s="66"/>
      <c r="B16" s="68" t="s">
        <v>125</v>
      </c>
      <c r="C16" s="69"/>
      <c r="D16" s="69"/>
      <c r="E16" s="69"/>
      <c r="F16" s="70"/>
      <c r="G16" s="70"/>
      <c r="H16" s="70"/>
      <c r="I16" s="71"/>
      <c r="J16" s="71"/>
      <c r="K16" s="71"/>
      <c r="L16" s="71"/>
      <c r="M16" s="66"/>
      <c r="N16" s="66"/>
      <c r="O16" s="66"/>
      <c r="P16" s="66"/>
    </row>
    <row r="17" spans="1:121" s="72" customFormat="1" ht="13.8">
      <c r="B17" s="505" t="s">
        <v>124</v>
      </c>
      <c r="C17" s="505"/>
      <c r="D17" s="505"/>
      <c r="E17" s="505"/>
      <c r="F17" s="505"/>
      <c r="G17" s="505"/>
      <c r="H17" s="505"/>
      <c r="I17" s="505"/>
      <c r="J17" s="73"/>
      <c r="K17" s="73"/>
      <c r="L17" s="73"/>
      <c r="M17" s="74"/>
      <c r="N17" s="75"/>
    </row>
    <row r="18" spans="1:121" s="52" customFormat="1">
      <c r="A18" s="55"/>
      <c r="B18" s="55"/>
      <c r="C18" s="55"/>
      <c r="D18" s="55"/>
      <c r="E18" s="55"/>
      <c r="F18" s="55"/>
      <c r="G18" s="55"/>
      <c r="H18" s="55"/>
      <c r="I18" s="55"/>
      <c r="J18" s="55"/>
      <c r="K18" s="55"/>
      <c r="L18" s="57"/>
      <c r="M18" s="54"/>
    </row>
    <row r="19" spans="1:121" s="52" customFormat="1">
      <c r="A19" s="55"/>
      <c r="B19" s="457" t="s">
        <v>55</v>
      </c>
      <c r="C19" s="76"/>
      <c r="D19" s="55"/>
      <c r="E19" s="55"/>
      <c r="F19" s="55"/>
      <c r="G19" s="55"/>
      <c r="H19" s="55"/>
      <c r="I19" s="55"/>
      <c r="J19" s="55"/>
      <c r="K19" s="55"/>
      <c r="L19" s="57"/>
      <c r="M19" s="54"/>
      <c r="DP19" s="58"/>
      <c r="DQ19" s="58"/>
    </row>
    <row r="20" spans="1:121">
      <c r="A20" s="55"/>
      <c r="B20" s="54" t="s">
        <v>54</v>
      </c>
      <c r="C20" s="54"/>
      <c r="D20" s="54"/>
      <c r="E20" s="54"/>
      <c r="F20" s="54"/>
      <c r="G20" s="54"/>
      <c r="H20" s="54"/>
      <c r="I20" s="54"/>
      <c r="J20" s="54"/>
      <c r="K20" s="78"/>
      <c r="L20" s="78"/>
      <c r="M20" s="78"/>
      <c r="N20" s="79"/>
      <c r="O20" s="55"/>
      <c r="P20" s="55"/>
      <c r="Q20" s="55"/>
      <c r="R20" s="55"/>
      <c r="S20" s="55"/>
      <c r="T20" s="55"/>
      <c r="U20" s="55"/>
      <c r="V20" s="55"/>
      <c r="W20" s="55"/>
      <c r="DP20" s="52"/>
    </row>
    <row r="21" spans="1:121">
      <c r="A21" s="55"/>
      <c r="B21" s="473" t="s">
        <v>584</v>
      </c>
      <c r="C21" s="474"/>
      <c r="D21" s="474"/>
      <c r="E21" s="474"/>
      <c r="F21" s="474"/>
      <c r="G21" s="474"/>
      <c r="H21" s="474"/>
      <c r="I21" s="474"/>
      <c r="J21" s="474"/>
      <c r="K21" s="78"/>
      <c r="L21" s="78"/>
      <c r="M21" s="78"/>
      <c r="N21" s="79"/>
      <c r="O21" s="55"/>
      <c r="P21" s="55"/>
      <c r="Q21" s="55"/>
      <c r="R21" s="55"/>
      <c r="S21" s="55"/>
      <c r="T21" s="55"/>
      <c r="U21" s="55"/>
      <c r="V21" s="55"/>
      <c r="W21" s="55"/>
      <c r="DP21" s="52"/>
    </row>
    <row r="22" spans="1:121" ht="13.8">
      <c r="A22" s="55"/>
      <c r="B22" s="473" t="s">
        <v>585</v>
      </c>
      <c r="C22" s="474"/>
      <c r="D22" s="474"/>
      <c r="E22" s="474"/>
      <c r="F22" s="474"/>
      <c r="G22" s="474"/>
      <c r="H22" s="474"/>
      <c r="I22" s="474"/>
      <c r="J22" s="474"/>
      <c r="K22" s="78"/>
      <c r="L22" s="78"/>
      <c r="M22" s="78"/>
      <c r="N22" s="79"/>
      <c r="O22" s="55"/>
      <c r="P22" s="55"/>
      <c r="Q22" s="55"/>
      <c r="R22" s="55"/>
      <c r="S22" s="55"/>
      <c r="T22" s="55"/>
      <c r="U22" s="55"/>
      <c r="V22" s="55"/>
      <c r="W22" s="55"/>
      <c r="DP22" s="52"/>
    </row>
    <row r="23" spans="1:121">
      <c r="A23" s="55"/>
      <c r="B23" s="473" t="s">
        <v>577</v>
      </c>
      <c r="C23" s="474"/>
      <c r="D23" s="474"/>
      <c r="E23" s="474"/>
      <c r="F23" s="474"/>
      <c r="G23" s="474"/>
      <c r="H23" s="474"/>
      <c r="I23" s="474"/>
      <c r="J23" s="474"/>
      <c r="K23" s="78"/>
      <c r="L23" s="78"/>
      <c r="M23" s="78"/>
      <c r="N23" s="79"/>
      <c r="O23" s="55"/>
      <c r="P23" s="55"/>
      <c r="Q23" s="55"/>
      <c r="R23" s="55"/>
      <c r="S23" s="55"/>
      <c r="T23" s="55"/>
      <c r="U23" s="55"/>
      <c r="V23" s="55"/>
      <c r="W23" s="55"/>
      <c r="DP23" s="52"/>
    </row>
    <row r="24" spans="1:121" ht="17.25" customHeight="1">
      <c r="A24" s="55"/>
      <c r="B24" s="473" t="s">
        <v>586</v>
      </c>
      <c r="C24" s="473"/>
      <c r="D24" s="473"/>
      <c r="E24" s="473"/>
      <c r="F24" s="473"/>
      <c r="G24" s="473"/>
      <c r="H24" s="473"/>
      <c r="I24" s="473"/>
      <c r="J24" s="473"/>
      <c r="K24" s="78"/>
      <c r="L24" s="78"/>
      <c r="M24" s="78"/>
      <c r="N24" s="79"/>
      <c r="O24" s="55"/>
      <c r="P24" s="55"/>
      <c r="Q24" s="55"/>
      <c r="R24" s="55"/>
      <c r="S24" s="55"/>
      <c r="T24" s="55"/>
      <c r="U24" s="55"/>
      <c r="V24" s="55"/>
      <c r="W24" s="55"/>
      <c r="DP24" s="52"/>
    </row>
    <row r="25" spans="1:121" ht="28.5" customHeight="1">
      <c r="A25" s="55"/>
      <c r="B25" s="499" t="s">
        <v>578</v>
      </c>
      <c r="C25" s="500"/>
      <c r="D25" s="500"/>
      <c r="E25" s="500"/>
      <c r="F25" s="500"/>
      <c r="G25" s="500"/>
      <c r="H25" s="500"/>
      <c r="I25" s="500"/>
      <c r="J25" s="500"/>
      <c r="K25" s="78"/>
      <c r="L25" s="78"/>
      <c r="M25" s="78"/>
      <c r="N25" s="79"/>
      <c r="O25" s="55"/>
      <c r="P25" s="55"/>
      <c r="Q25" s="55"/>
      <c r="R25" s="55"/>
      <c r="S25" s="55"/>
      <c r="T25" s="55"/>
      <c r="U25" s="55"/>
      <c r="V25" s="55"/>
      <c r="W25" s="55"/>
      <c r="DP25" s="52"/>
    </row>
    <row r="26" spans="1:121">
      <c r="A26" s="55"/>
      <c r="B26" s="499" t="s">
        <v>579</v>
      </c>
      <c r="C26" s="500"/>
      <c r="D26" s="500"/>
      <c r="E26" s="500"/>
      <c r="F26" s="500"/>
      <c r="G26" s="500"/>
      <c r="H26" s="500"/>
      <c r="I26" s="500"/>
      <c r="J26" s="500"/>
      <c r="K26" s="78"/>
      <c r="L26" s="78"/>
      <c r="M26" s="78"/>
      <c r="N26" s="79"/>
      <c r="O26" s="55"/>
      <c r="P26" s="55"/>
      <c r="Q26" s="55"/>
      <c r="R26" s="55"/>
      <c r="S26" s="55"/>
      <c r="T26" s="55"/>
      <c r="U26" s="55"/>
      <c r="V26" s="55"/>
      <c r="W26" s="55"/>
      <c r="DP26" s="52"/>
    </row>
    <row r="27" spans="1:121" ht="29.25" customHeight="1">
      <c r="A27" s="55"/>
      <c r="B27" s="499" t="s">
        <v>580</v>
      </c>
      <c r="C27" s="500"/>
      <c r="D27" s="500"/>
      <c r="E27" s="500"/>
      <c r="F27" s="500"/>
      <c r="G27" s="500"/>
      <c r="H27" s="500"/>
      <c r="I27" s="500"/>
      <c r="J27" s="500"/>
      <c r="K27" s="78"/>
      <c r="L27" s="78"/>
      <c r="M27" s="78"/>
      <c r="N27" s="79"/>
      <c r="O27" s="55"/>
      <c r="P27" s="55"/>
      <c r="Q27" s="55"/>
      <c r="R27" s="55"/>
      <c r="S27" s="55"/>
      <c r="T27" s="55"/>
      <c r="U27" s="55"/>
      <c r="V27" s="55"/>
      <c r="W27" s="55"/>
      <c r="DP27" s="52"/>
    </row>
    <row r="28" spans="1:121">
      <c r="A28" s="55"/>
      <c r="B28" s="470" t="s">
        <v>581</v>
      </c>
      <c r="C28" s="471"/>
      <c r="D28" s="471"/>
      <c r="E28" s="471"/>
      <c r="F28" s="471"/>
      <c r="G28" s="471"/>
      <c r="H28" s="471"/>
      <c r="I28" s="471"/>
      <c r="J28" s="471"/>
      <c r="K28" s="78"/>
      <c r="L28" s="78"/>
      <c r="M28" s="78"/>
      <c r="N28" s="79"/>
      <c r="O28" s="55"/>
      <c r="P28" s="55"/>
      <c r="Q28" s="55"/>
      <c r="R28" s="55"/>
      <c r="S28" s="55"/>
      <c r="T28" s="55"/>
      <c r="U28" s="55"/>
      <c r="V28" s="55"/>
      <c r="W28" s="55"/>
      <c r="DP28" s="52"/>
    </row>
    <row r="29" spans="1:121">
      <c r="A29" s="55"/>
      <c r="B29" s="473" t="s">
        <v>582</v>
      </c>
      <c r="C29" s="474"/>
      <c r="D29" s="474"/>
      <c r="E29" s="474"/>
      <c r="F29" s="474"/>
      <c r="G29" s="474"/>
      <c r="H29" s="474"/>
      <c r="I29" s="474"/>
      <c r="J29" s="474"/>
      <c r="K29" s="78"/>
      <c r="L29" s="78"/>
      <c r="M29" s="78"/>
      <c r="N29" s="79"/>
      <c r="O29" s="55"/>
      <c r="P29" s="55"/>
      <c r="Q29" s="55"/>
      <c r="R29" s="55"/>
      <c r="S29" s="55"/>
      <c r="T29" s="55"/>
      <c r="U29" s="55"/>
      <c r="V29" s="55"/>
      <c r="W29" s="55"/>
      <c r="DP29" s="52"/>
    </row>
    <row r="30" spans="1:121" ht="25.5" customHeight="1">
      <c r="A30" s="55"/>
      <c r="B30" s="499" t="s">
        <v>583</v>
      </c>
      <c r="C30" s="500"/>
      <c r="D30" s="500"/>
      <c r="E30" s="500"/>
      <c r="F30" s="500"/>
      <c r="G30" s="500"/>
      <c r="H30" s="500"/>
      <c r="I30" s="500"/>
      <c r="J30" s="500"/>
      <c r="K30" s="78"/>
      <c r="L30" s="78"/>
      <c r="M30" s="78"/>
      <c r="N30" s="79"/>
      <c r="O30" s="55"/>
      <c r="P30" s="55"/>
      <c r="Q30" s="55"/>
      <c r="R30" s="55"/>
      <c r="S30" s="55"/>
      <c r="T30" s="55"/>
      <c r="U30" s="55"/>
      <c r="V30" s="55"/>
      <c r="W30" s="55"/>
      <c r="DP30" s="52"/>
    </row>
    <row r="31" spans="1:121">
      <c r="A31" s="55"/>
      <c r="B31" s="54" t="s">
        <v>111</v>
      </c>
      <c r="C31" s="366"/>
      <c r="D31" s="366"/>
      <c r="E31" s="366"/>
      <c r="F31" s="366"/>
      <c r="G31" s="366"/>
      <c r="H31" s="366"/>
      <c r="I31" s="366"/>
      <c r="J31" s="366"/>
      <c r="K31" s="78"/>
      <c r="L31" s="78"/>
      <c r="M31" s="78"/>
      <c r="N31" s="79"/>
      <c r="O31" s="55"/>
      <c r="P31" s="55"/>
      <c r="Q31" s="55"/>
      <c r="R31" s="55"/>
      <c r="S31" s="55"/>
      <c r="T31" s="55"/>
      <c r="U31" s="55"/>
      <c r="V31" s="55"/>
      <c r="W31" s="55"/>
      <c r="DP31" s="52"/>
    </row>
    <row r="32" spans="1:121" s="52" customFormat="1">
      <c r="A32" s="55"/>
      <c r="B32" s="77"/>
      <c r="C32" s="77"/>
      <c r="D32" s="77"/>
      <c r="E32" s="77"/>
      <c r="F32" s="77"/>
      <c r="G32" s="77"/>
      <c r="H32" s="78"/>
      <c r="I32" s="78"/>
      <c r="J32" s="78"/>
      <c r="K32" s="78"/>
      <c r="L32" s="78"/>
      <c r="M32" s="79"/>
      <c r="N32" s="55"/>
      <c r="O32" s="55"/>
      <c r="P32" s="55"/>
      <c r="Q32" s="55"/>
      <c r="R32" s="55"/>
      <c r="S32" s="55"/>
      <c r="T32" s="55"/>
      <c r="U32" s="55"/>
      <c r="V32" s="55"/>
      <c r="DP32" s="58"/>
      <c r="DQ32" s="58"/>
    </row>
    <row r="33" spans="1:121" s="52" customFormat="1" ht="16.2">
      <c r="A33" s="55"/>
      <c r="B33" s="80" t="s">
        <v>0</v>
      </c>
      <c r="C33" s="80"/>
      <c r="D33" s="81"/>
      <c r="E33" s="81"/>
      <c r="F33" s="81"/>
      <c r="G33" s="81"/>
      <c r="H33" s="81"/>
      <c r="I33" s="81"/>
      <c r="J33" s="81"/>
      <c r="K33" s="81"/>
      <c r="L33" s="292"/>
      <c r="M33" s="292"/>
      <c r="N33" s="292"/>
      <c r="O33" s="292"/>
      <c r="P33" s="292"/>
      <c r="Q33" s="292"/>
      <c r="R33" s="292"/>
      <c r="S33" s="292"/>
      <c r="T33" s="292"/>
      <c r="U33" s="292"/>
      <c r="V33" s="292"/>
      <c r="W33" s="292"/>
      <c r="X33" s="292"/>
      <c r="Y33" s="292"/>
      <c r="Z33" s="292"/>
      <c r="AA33" s="292"/>
      <c r="AB33" s="292"/>
      <c r="DP33" s="58"/>
      <c r="DQ33" s="58"/>
    </row>
    <row r="34" spans="1:121">
      <c r="A34" s="55"/>
      <c r="B34" s="83"/>
      <c r="C34" s="83"/>
      <c r="D34" s="83"/>
      <c r="E34" s="83"/>
      <c r="F34" s="83"/>
      <c r="G34" s="83"/>
      <c r="H34" s="83"/>
      <c r="I34" s="83"/>
      <c r="J34" s="83"/>
      <c r="K34" s="83"/>
      <c r="L34" s="57"/>
    </row>
    <row r="35" spans="1:121" s="52" customFormat="1" ht="13.8">
      <c r="A35" s="55"/>
      <c r="B35" s="87" t="s">
        <v>2</v>
      </c>
      <c r="C35" s="88" t="s">
        <v>4</v>
      </c>
      <c r="D35" s="88" t="s">
        <v>9</v>
      </c>
      <c r="E35" s="89" t="s">
        <v>11</v>
      </c>
      <c r="F35" s="89" t="s">
        <v>3</v>
      </c>
      <c r="G35" s="89"/>
      <c r="H35" s="89" t="s">
        <v>7</v>
      </c>
      <c r="I35" s="86"/>
      <c r="J35" s="86"/>
      <c r="K35" s="86"/>
      <c r="L35" s="53"/>
      <c r="M35" s="54"/>
    </row>
    <row r="36" spans="1:121" s="52" customFormat="1">
      <c r="A36" s="55"/>
      <c r="B36" s="91"/>
      <c r="C36" s="83"/>
      <c r="D36" s="83"/>
      <c r="E36" s="83"/>
      <c r="F36" s="83"/>
      <c r="G36" s="83"/>
      <c r="H36" s="84"/>
      <c r="I36" s="86"/>
      <c r="J36" s="86"/>
      <c r="K36" s="86"/>
      <c r="L36" s="53"/>
      <c r="M36" s="54"/>
    </row>
    <row r="37" spans="1:121" s="52" customFormat="1">
      <c r="A37" s="55"/>
      <c r="B37" s="289" t="s">
        <v>307</v>
      </c>
      <c r="C37" s="289"/>
      <c r="D37" s="289"/>
      <c r="E37" s="289"/>
      <c r="F37" s="289"/>
      <c r="G37" s="289"/>
      <c r="H37" s="289"/>
      <c r="I37" s="86"/>
      <c r="J37" s="92"/>
      <c r="K37" s="92"/>
      <c r="L37" s="57"/>
      <c r="M37" s="54"/>
    </row>
    <row r="38" spans="1:121" s="52" customFormat="1" ht="16.2">
      <c r="A38" s="55"/>
      <c r="B38" s="289" t="s">
        <v>309</v>
      </c>
      <c r="C38" s="304"/>
      <c r="D38" s="304"/>
      <c r="E38" s="304"/>
      <c r="F38" s="304"/>
      <c r="G38" s="304"/>
      <c r="H38" s="304"/>
      <c r="I38" s="86"/>
      <c r="J38" s="92"/>
      <c r="K38" s="92"/>
      <c r="L38" s="57"/>
      <c r="M38" s="54"/>
    </row>
    <row r="39" spans="1:121" s="52" customFormat="1">
      <c r="A39" s="55"/>
      <c r="B39" s="91"/>
      <c r="C39" s="83"/>
      <c r="D39" s="83"/>
      <c r="E39" s="83"/>
      <c r="F39" s="83"/>
      <c r="G39" s="83"/>
      <c r="H39" s="84"/>
      <c r="I39" s="86"/>
      <c r="J39" s="86"/>
      <c r="K39" s="86"/>
      <c r="L39" s="53"/>
      <c r="M39" s="54"/>
    </row>
    <row r="40" spans="1:121" s="52" customFormat="1" ht="13.5" customHeight="1" thickBot="1">
      <c r="A40" s="55"/>
      <c r="B40" s="432" t="s">
        <v>506</v>
      </c>
      <c r="C40" s="93"/>
      <c r="D40" s="83"/>
      <c r="E40" s="83"/>
      <c r="F40" s="83"/>
      <c r="G40" s="83"/>
      <c r="H40" s="83"/>
      <c r="I40" s="86"/>
      <c r="J40" s="92"/>
      <c r="K40" s="92"/>
      <c r="L40" s="57"/>
      <c r="M40" s="54"/>
    </row>
    <row r="41" spans="1:121" s="52" customFormat="1" ht="13.5" customHeight="1">
      <c r="A41" s="55"/>
      <c r="B41" s="433"/>
      <c r="C41" s="343"/>
      <c r="D41" s="344"/>
      <c r="E41" s="344"/>
      <c r="F41" s="344"/>
      <c r="G41" s="344"/>
      <c r="H41" s="344"/>
      <c r="I41" s="345"/>
      <c r="J41" s="92"/>
      <c r="K41" s="92"/>
      <c r="L41" s="57"/>
      <c r="M41" s="54"/>
    </row>
    <row r="42" spans="1:121" s="52" customFormat="1">
      <c r="A42" s="55"/>
      <c r="B42" s="341" t="s">
        <v>413</v>
      </c>
      <c r="C42" s="84"/>
      <c r="D42" s="94" t="s">
        <v>414</v>
      </c>
      <c r="E42" s="92" t="s">
        <v>6</v>
      </c>
      <c r="F42" s="101" t="s">
        <v>88</v>
      </c>
      <c r="G42" s="83"/>
      <c r="H42" s="95"/>
      <c r="I42" s="346"/>
      <c r="J42" s="83"/>
      <c r="K42" s="83"/>
      <c r="M42" s="54"/>
      <c r="DP42" s="58"/>
      <c r="DQ42" s="58"/>
    </row>
    <row r="43" spans="1:121" s="52" customFormat="1" ht="13.5" customHeight="1" thickBot="1">
      <c r="A43" s="55"/>
      <c r="B43" s="341"/>
      <c r="C43" s="93"/>
      <c r="D43" s="83"/>
      <c r="E43" s="83"/>
      <c r="F43" s="83"/>
      <c r="G43" s="83"/>
      <c r="H43" s="83"/>
      <c r="I43" s="347"/>
      <c r="J43" s="92"/>
      <c r="K43" s="92"/>
      <c r="L43" s="57"/>
      <c r="M43" s="54"/>
    </row>
    <row r="44" spans="1:121" s="52" customFormat="1" ht="16.2" thickBot="1">
      <c r="A44" s="55"/>
      <c r="B44" s="341" t="s">
        <v>319</v>
      </c>
      <c r="C44" s="416" t="s">
        <v>507</v>
      </c>
      <c r="D44" s="417" t="s">
        <v>502</v>
      </c>
      <c r="E44" s="422" t="s">
        <v>6</v>
      </c>
      <c r="F44" s="423" t="s">
        <v>321</v>
      </c>
      <c r="G44" s="344"/>
      <c r="H44" s="424"/>
      <c r="I44" s="346"/>
      <c r="J44" s="83"/>
      <c r="K44" s="83"/>
      <c r="M44" s="54"/>
      <c r="DP44" s="58"/>
      <c r="DQ44" s="58"/>
    </row>
    <row r="45" spans="1:121" s="52" customFormat="1" ht="3" customHeight="1" thickTop="1">
      <c r="A45" s="55"/>
      <c r="B45" s="341"/>
      <c r="C45" s="418"/>
      <c r="D45" s="84"/>
      <c r="E45" s="92"/>
      <c r="F45" s="101"/>
      <c r="G45" s="83"/>
      <c r="H45" s="425"/>
      <c r="I45" s="346"/>
      <c r="J45" s="83"/>
      <c r="K45" s="83"/>
      <c r="M45" s="54"/>
      <c r="DP45" s="58"/>
      <c r="DQ45" s="58"/>
    </row>
    <row r="46" spans="1:121" s="52" customFormat="1" ht="37.799999999999997">
      <c r="A46" s="55"/>
      <c r="B46" s="341"/>
      <c r="C46" s="419"/>
      <c r="D46" s="100" t="s">
        <v>503</v>
      </c>
      <c r="E46" s="101" t="s">
        <v>6</v>
      </c>
      <c r="F46" s="98" t="s">
        <v>412</v>
      </c>
      <c r="G46" s="101"/>
      <c r="H46" s="426"/>
      <c r="I46" s="346"/>
      <c r="J46" s="83"/>
      <c r="K46" s="83"/>
      <c r="M46" s="54"/>
      <c r="DP46" s="58"/>
      <c r="DQ46" s="58"/>
    </row>
    <row r="47" spans="1:121" s="52" customFormat="1" ht="3" customHeight="1">
      <c r="A47" s="55"/>
      <c r="B47" s="341"/>
      <c r="C47" s="419"/>
      <c r="D47" s="164"/>
      <c r="E47" s="92"/>
      <c r="F47" s="101"/>
      <c r="G47" s="101"/>
      <c r="H47" s="425"/>
      <c r="I47" s="346"/>
      <c r="J47" s="83"/>
      <c r="K47" s="83"/>
      <c r="M47" s="54"/>
      <c r="DP47" s="58"/>
      <c r="DQ47" s="58"/>
    </row>
    <row r="48" spans="1:121" s="52" customFormat="1" ht="14.4" thickBot="1">
      <c r="A48" s="55"/>
      <c r="B48" s="341"/>
      <c r="C48" s="420" t="s">
        <v>504</v>
      </c>
      <c r="D48" s="352" t="s">
        <v>505</v>
      </c>
      <c r="E48" s="427" t="s">
        <v>8</v>
      </c>
      <c r="F48" s="354" t="s">
        <v>178</v>
      </c>
      <c r="G48" s="354"/>
      <c r="H48" s="428" t="str">
        <f>IF(AND(F44='Pick-lists &amp; Defaults'!B6,ISNUMBER(as_content),ISNUMBER(density),ISNUMBER(Purity)),as_content*density*Purity/10,IF(AND(F44='Pick-lists &amp; Defaults'!B7,ISNUMBER(as_content),ISNUMBER(Purity)),as_content*Purity/100,"??"))</f>
        <v>??</v>
      </c>
      <c r="I48" s="346"/>
      <c r="J48" s="83"/>
      <c r="K48" s="83"/>
      <c r="M48" s="54"/>
      <c r="DP48" s="58"/>
      <c r="DQ48" s="58"/>
    </row>
    <row r="49" spans="1:121" s="52" customFormat="1">
      <c r="A49" s="55"/>
      <c r="B49" s="349"/>
      <c r="C49" s="84"/>
      <c r="D49" s="84"/>
      <c r="E49" s="92"/>
      <c r="F49" s="92"/>
      <c r="G49" s="92"/>
      <c r="H49" s="92"/>
      <c r="I49" s="347"/>
      <c r="J49" s="83"/>
      <c r="K49" s="83"/>
      <c r="M49" s="54"/>
      <c r="DP49" s="58"/>
      <c r="DQ49" s="58"/>
    </row>
    <row r="50" spans="1:121" ht="35.25" customHeight="1">
      <c r="A50" s="55"/>
      <c r="B50" s="350" t="s">
        <v>333</v>
      </c>
      <c r="C50" s="106" t="s">
        <v>273</v>
      </c>
      <c r="D50" s="99" t="s">
        <v>317</v>
      </c>
      <c r="E50" s="101" t="s">
        <v>6</v>
      </c>
      <c r="F50" s="101" t="s">
        <v>314</v>
      </c>
      <c r="G50" s="101"/>
      <c r="H50" s="95"/>
      <c r="I50" s="346"/>
      <c r="J50" s="83"/>
      <c r="K50" s="83"/>
    </row>
    <row r="51" spans="1:121" ht="3" customHeight="1">
      <c r="A51" s="55"/>
      <c r="B51" s="350"/>
      <c r="C51" s="99"/>
      <c r="D51" s="106"/>
      <c r="E51" s="101"/>
      <c r="F51" s="101"/>
      <c r="G51" s="101"/>
      <c r="H51" s="98"/>
      <c r="I51" s="346"/>
      <c r="J51" s="83"/>
      <c r="K51" s="83"/>
    </row>
    <row r="52" spans="1:121" ht="25.2">
      <c r="A52" s="55"/>
      <c r="B52" s="350" t="s">
        <v>315</v>
      </c>
      <c r="C52" s="94" t="s">
        <v>316</v>
      </c>
      <c r="D52" s="99" t="s">
        <v>410</v>
      </c>
      <c r="E52" s="101" t="s">
        <v>6</v>
      </c>
      <c r="F52" s="98" t="s">
        <v>5</v>
      </c>
      <c r="G52" s="98"/>
      <c r="H52" s="95"/>
      <c r="I52" s="346"/>
      <c r="J52" s="83"/>
      <c r="K52" s="83"/>
    </row>
    <row r="53" spans="1:121" ht="13.2" thickBot="1">
      <c r="A53" s="55"/>
      <c r="B53" s="351"/>
      <c r="C53" s="352"/>
      <c r="D53" s="434"/>
      <c r="E53" s="354"/>
      <c r="F53" s="354"/>
      <c r="G53" s="354"/>
      <c r="H53" s="355"/>
      <c r="I53" s="356"/>
      <c r="J53" s="86"/>
      <c r="K53" s="86"/>
    </row>
    <row r="54" spans="1:121">
      <c r="A54" s="55"/>
      <c r="B54" s="99"/>
      <c r="C54" s="94"/>
      <c r="D54" s="85"/>
      <c r="E54" s="101"/>
      <c r="F54" s="101"/>
      <c r="G54" s="101"/>
      <c r="H54" s="98"/>
      <c r="I54" s="161"/>
      <c r="J54" s="86"/>
      <c r="K54" s="86"/>
    </row>
    <row r="55" spans="1:121">
      <c r="A55" s="55"/>
      <c r="B55" s="84" t="s">
        <v>334</v>
      </c>
      <c r="C55" s="109"/>
      <c r="D55" s="86"/>
      <c r="E55" s="312"/>
      <c r="F55" s="101"/>
      <c r="G55" s="101"/>
      <c r="H55" s="98"/>
      <c r="I55" s="161"/>
      <c r="J55" s="86"/>
      <c r="K55" s="86"/>
    </row>
    <row r="56" spans="1:121" ht="25.2">
      <c r="A56" s="55"/>
      <c r="B56" s="301" t="s">
        <v>311</v>
      </c>
      <c r="C56" s="295" t="s">
        <v>300</v>
      </c>
      <c r="D56" s="86"/>
      <c r="E56" s="227" t="s">
        <v>13</v>
      </c>
      <c r="F56" s="101" t="s">
        <v>5</v>
      </c>
      <c r="G56" s="227"/>
      <c r="H56" s="98">
        <v>0.5</v>
      </c>
      <c r="I56" s="161"/>
      <c r="J56" s="86"/>
      <c r="K56" s="86"/>
    </row>
    <row r="57" spans="1:121">
      <c r="A57" s="55"/>
      <c r="B57" s="300" t="s">
        <v>402</v>
      </c>
      <c r="C57" s="109"/>
      <c r="D57" s="86"/>
      <c r="E57" s="312"/>
      <c r="F57" s="101"/>
      <c r="G57" s="101"/>
      <c r="H57" s="98"/>
      <c r="I57" s="161"/>
      <c r="J57" s="86"/>
      <c r="K57" s="86"/>
    </row>
    <row r="58" spans="1:121" ht="15">
      <c r="A58" s="55"/>
      <c r="B58" s="296" t="s">
        <v>326</v>
      </c>
      <c r="C58" s="297" t="s">
        <v>135</v>
      </c>
      <c r="D58" s="302" t="s">
        <v>357</v>
      </c>
      <c r="E58" s="312" t="s">
        <v>8</v>
      </c>
      <c r="F58" s="98" t="s">
        <v>5</v>
      </c>
      <c r="G58" s="101"/>
      <c r="H58" s="141">
        <f>1-Fteat</f>
        <v>0.5</v>
      </c>
      <c r="I58" s="161"/>
      <c r="J58" s="86"/>
      <c r="K58" s="86"/>
    </row>
    <row r="59" spans="1:121" ht="15">
      <c r="A59" s="55"/>
      <c r="B59" s="296" t="s">
        <v>327</v>
      </c>
      <c r="C59" s="295" t="s">
        <v>136</v>
      </c>
      <c r="D59" s="302" t="s">
        <v>358</v>
      </c>
      <c r="E59" s="312" t="s">
        <v>8</v>
      </c>
      <c r="F59" s="98" t="s">
        <v>5</v>
      </c>
      <c r="G59" s="101"/>
      <c r="H59" s="141">
        <f>1-Fteat</f>
        <v>0.5</v>
      </c>
      <c r="I59" s="161"/>
      <c r="J59" s="86"/>
      <c r="K59" s="86"/>
    </row>
    <row r="60" spans="1:121">
      <c r="A60" s="55"/>
      <c r="B60" s="314"/>
      <c r="C60" s="110"/>
      <c r="D60" s="93"/>
      <c r="E60" s="312"/>
      <c r="F60" s="98"/>
      <c r="G60" s="101"/>
      <c r="H60" s="98"/>
      <c r="I60" s="161"/>
      <c r="J60" s="86"/>
      <c r="K60" s="86"/>
    </row>
    <row r="61" spans="1:121" ht="13.2" thickBot="1">
      <c r="A61" s="55"/>
      <c r="B61" s="233"/>
      <c r="C61" s="110"/>
      <c r="D61" s="435"/>
      <c r="E61" s="312"/>
      <c r="F61" s="98"/>
      <c r="G61" s="101"/>
      <c r="H61" s="98"/>
      <c r="I61" s="161"/>
      <c r="J61" s="86"/>
      <c r="K61" s="86"/>
    </row>
    <row r="62" spans="1:121" ht="39" thickTop="1" thickBot="1">
      <c r="A62" s="55"/>
      <c r="B62" s="229" t="s">
        <v>520</v>
      </c>
      <c r="C62" s="228" t="s">
        <v>301</v>
      </c>
      <c r="D62" s="144" t="s">
        <v>364</v>
      </c>
      <c r="E62" s="101" t="s">
        <v>13</v>
      </c>
      <c r="F62" s="227" t="s">
        <v>239</v>
      </c>
      <c r="G62" s="101"/>
      <c r="H62" s="326" t="str">
        <f>INDEX('Pick-lists &amp; Defaults'!C195:C198,MATCH(D62,Napp_teat_select,0))</f>
        <v>??</v>
      </c>
      <c r="I62" s="161"/>
      <c r="J62" s="86"/>
      <c r="K62" s="86"/>
    </row>
    <row r="63" spans="1:121" ht="46.5" customHeight="1" thickTop="1">
      <c r="A63" s="55"/>
      <c r="B63" s="229"/>
      <c r="C63" s="233"/>
      <c r="D63" s="232" t="s">
        <v>510</v>
      </c>
      <c r="E63" s="101" t="s">
        <v>6</v>
      </c>
      <c r="F63" s="227" t="s">
        <v>239</v>
      </c>
      <c r="G63" s="101"/>
      <c r="H63" s="95"/>
      <c r="I63" s="161"/>
      <c r="J63" s="86"/>
      <c r="K63" s="86"/>
    </row>
    <row r="64" spans="1:121">
      <c r="A64" s="55"/>
      <c r="B64" s="229"/>
      <c r="C64" s="233"/>
      <c r="D64" s="228"/>
      <c r="E64" s="101"/>
      <c r="F64" s="227"/>
      <c r="G64" s="101"/>
      <c r="H64" s="161"/>
      <c r="I64" s="161"/>
      <c r="J64" s="86"/>
      <c r="K64" s="86"/>
    </row>
    <row r="65" spans="1:121" ht="25.2">
      <c r="A65" s="55"/>
      <c r="B65" s="229" t="s">
        <v>302</v>
      </c>
      <c r="C65" s="307" t="s">
        <v>304</v>
      </c>
      <c r="D65" s="307" t="s">
        <v>365</v>
      </c>
      <c r="E65" s="101" t="s">
        <v>13</v>
      </c>
      <c r="F65" s="227" t="s">
        <v>305</v>
      </c>
      <c r="G65" s="101"/>
      <c r="H65" s="98">
        <v>300</v>
      </c>
      <c r="I65" s="161"/>
      <c r="J65" s="86"/>
      <c r="K65" s="86"/>
    </row>
    <row r="66" spans="1:121">
      <c r="A66" s="55"/>
      <c r="B66" s="229"/>
      <c r="C66" s="307"/>
      <c r="D66" s="307"/>
      <c r="E66" s="101"/>
      <c r="F66" s="227"/>
      <c r="G66" s="101"/>
      <c r="H66" s="98"/>
      <c r="I66" s="161"/>
      <c r="J66" s="86"/>
      <c r="K66" s="86"/>
    </row>
    <row r="67" spans="1:121" ht="25.2">
      <c r="A67" s="55"/>
      <c r="B67" s="279" t="s">
        <v>303</v>
      </c>
      <c r="C67" s="257" t="s">
        <v>330</v>
      </c>
      <c r="D67" s="94" t="s">
        <v>511</v>
      </c>
      <c r="E67" s="312" t="s">
        <v>8</v>
      </c>
      <c r="F67" s="98" t="s">
        <v>5</v>
      </c>
      <c r="G67" s="101"/>
      <c r="H67" s="141" t="str">
        <f>IF(ISNUMBER(Napp_teat),Napp_teat*Temission,IF(ISNUMBER(Napp_teat_set),Napp_teat_set*Temission,"??"))</f>
        <v>??</v>
      </c>
      <c r="I67" s="161"/>
      <c r="J67" s="86"/>
      <c r="K67" s="86"/>
    </row>
    <row r="68" spans="1:121">
      <c r="A68" s="55"/>
      <c r="B68" s="99"/>
      <c r="C68" s="94"/>
      <c r="D68" s="85"/>
      <c r="E68" s="101"/>
      <c r="F68" s="101"/>
      <c r="G68" s="101"/>
      <c r="H68" s="98"/>
      <c r="I68" s="161"/>
      <c r="J68" s="86"/>
      <c r="K68" s="86"/>
    </row>
    <row r="69" spans="1:121" ht="25.2">
      <c r="A69" s="55"/>
      <c r="B69" s="99" t="s">
        <v>341</v>
      </c>
      <c r="C69" s="94" t="s">
        <v>70</v>
      </c>
      <c r="D69" s="94" t="s">
        <v>512</v>
      </c>
      <c r="E69" s="312" t="s">
        <v>13</v>
      </c>
      <c r="F69" s="101" t="s">
        <v>10</v>
      </c>
      <c r="G69" s="101"/>
      <c r="H69" s="141" t="str">
        <f>IF(ISNUMBER(Napp_teat),1/Napp_teat,IF(ISNUMBER(Napp_teat_set),1/Napp_teat_set,"??"))</f>
        <v>??</v>
      </c>
      <c r="I69" s="161"/>
      <c r="J69" s="86"/>
      <c r="K69" s="86"/>
    </row>
    <row r="70" spans="1:121">
      <c r="A70" s="55"/>
      <c r="B70" s="99"/>
      <c r="C70" s="94"/>
      <c r="D70" s="85"/>
      <c r="E70" s="101"/>
      <c r="F70" s="101"/>
      <c r="G70" s="101"/>
      <c r="H70" s="98"/>
      <c r="I70" s="161"/>
      <c r="J70" s="86"/>
      <c r="K70" s="86"/>
    </row>
    <row r="71" spans="1:121" s="54" customFormat="1">
      <c r="A71" s="55"/>
      <c r="B71" s="93" t="s">
        <v>405</v>
      </c>
      <c r="C71" s="84" t="s">
        <v>42</v>
      </c>
      <c r="D71" s="94" t="s">
        <v>335</v>
      </c>
      <c r="E71" s="92" t="s">
        <v>13</v>
      </c>
      <c r="F71" s="98" t="s">
        <v>5</v>
      </c>
      <c r="G71" s="92"/>
      <c r="H71" s="92">
        <v>4</v>
      </c>
      <c r="I71" s="85"/>
      <c r="J71" s="85"/>
      <c r="K71" s="85"/>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8"/>
      <c r="DQ71" s="58"/>
    </row>
    <row r="72" spans="1:121" s="54" customFormat="1" ht="3" customHeight="1">
      <c r="A72" s="55"/>
      <c r="B72" s="93"/>
      <c r="C72" s="84"/>
      <c r="D72" s="94"/>
      <c r="E72" s="92"/>
      <c r="F72" s="92"/>
      <c r="G72" s="92"/>
      <c r="H72" s="92"/>
      <c r="I72" s="85"/>
      <c r="J72" s="85"/>
      <c r="K72" s="85"/>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8"/>
      <c r="DQ72" s="58"/>
    </row>
    <row r="73" spans="1:121" s="54" customFormat="1">
      <c r="A73" s="55"/>
      <c r="B73" s="93" t="s">
        <v>406</v>
      </c>
      <c r="C73" s="84" t="s">
        <v>43</v>
      </c>
      <c r="D73" s="94" t="s">
        <v>335</v>
      </c>
      <c r="E73" s="92" t="s">
        <v>13</v>
      </c>
      <c r="F73" s="98" t="s">
        <v>5</v>
      </c>
      <c r="G73" s="92"/>
      <c r="H73" s="92">
        <v>1</v>
      </c>
      <c r="I73" s="85"/>
      <c r="J73" s="85"/>
      <c r="K73" s="85"/>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8"/>
      <c r="DQ73" s="58"/>
    </row>
    <row r="74" spans="1:121" s="54" customFormat="1" ht="3" customHeight="1">
      <c r="A74" s="55"/>
      <c r="B74" s="93"/>
      <c r="C74" s="84"/>
      <c r="D74" s="94"/>
      <c r="E74" s="92"/>
      <c r="F74" s="92"/>
      <c r="G74" s="92"/>
      <c r="H74" s="92"/>
      <c r="I74" s="85"/>
      <c r="J74" s="85"/>
      <c r="K74" s="85"/>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8"/>
      <c r="DQ74" s="58"/>
    </row>
    <row r="75" spans="1:121" s="54" customFormat="1">
      <c r="A75" s="55"/>
      <c r="B75" s="99" t="s">
        <v>184</v>
      </c>
      <c r="C75" s="94" t="s">
        <v>110</v>
      </c>
      <c r="D75" s="94" t="s">
        <v>522</v>
      </c>
      <c r="E75" s="101" t="s">
        <v>69</v>
      </c>
      <c r="F75" s="101" t="s">
        <v>5</v>
      </c>
      <c r="G75" s="101"/>
      <c r="H75" s="141">
        <f>10*Nlapp_arab</f>
        <v>10</v>
      </c>
      <c r="I75" s="85"/>
      <c r="J75" s="85"/>
      <c r="K75" s="85"/>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8"/>
      <c r="DQ75" s="58"/>
    </row>
    <row r="76" spans="1:121" s="54" customFormat="1" ht="3" customHeight="1">
      <c r="A76" s="55"/>
      <c r="B76" s="100"/>
      <c r="C76" s="94"/>
      <c r="D76" s="94"/>
      <c r="E76" s="105"/>
      <c r="F76" s="101"/>
      <c r="G76" s="101"/>
      <c r="H76" s="102"/>
      <c r="I76" s="85"/>
      <c r="J76" s="85"/>
      <c r="K76" s="85"/>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8"/>
      <c r="DQ76" s="58"/>
    </row>
    <row r="77" spans="1:121" s="54" customFormat="1">
      <c r="A77" s="55"/>
      <c r="B77" s="99" t="s">
        <v>182</v>
      </c>
      <c r="C77" s="94" t="s">
        <v>44</v>
      </c>
      <c r="D77" s="94"/>
      <c r="E77" s="101" t="s">
        <v>13</v>
      </c>
      <c r="F77" s="101" t="s">
        <v>10</v>
      </c>
      <c r="G77" s="101"/>
      <c r="H77" s="145">
        <v>53</v>
      </c>
      <c r="I77" s="103"/>
      <c r="J77" s="85"/>
      <c r="K77" s="85"/>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8"/>
      <c r="DQ77" s="58"/>
    </row>
    <row r="78" spans="1:121" s="54" customFormat="1" ht="3" customHeight="1">
      <c r="A78" s="55"/>
      <c r="B78" s="99"/>
      <c r="C78" s="94"/>
      <c r="D78" s="94"/>
      <c r="E78" s="101"/>
      <c r="F78" s="101"/>
      <c r="G78" s="101"/>
      <c r="H78" s="145"/>
      <c r="I78" s="103"/>
      <c r="J78" s="85"/>
      <c r="K78" s="85"/>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8"/>
      <c r="DQ78" s="58"/>
    </row>
    <row r="79" spans="1:121" s="54" customFormat="1">
      <c r="A79" s="55"/>
      <c r="B79" s="99" t="s">
        <v>183</v>
      </c>
      <c r="C79" s="94" t="s">
        <v>153</v>
      </c>
      <c r="D79" s="94" t="s">
        <v>522</v>
      </c>
      <c r="E79" s="101" t="s">
        <v>13</v>
      </c>
      <c r="F79" s="101" t="s">
        <v>10</v>
      </c>
      <c r="G79" s="101"/>
      <c r="H79" s="145">
        <v>365</v>
      </c>
      <c r="I79" s="103"/>
      <c r="J79" s="85"/>
      <c r="K79" s="85"/>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8"/>
      <c r="DQ79" s="58"/>
    </row>
    <row r="80" spans="1:121" s="54" customFormat="1" ht="3" customHeight="1">
      <c r="A80" s="55"/>
      <c r="B80" s="99"/>
      <c r="C80" s="94"/>
      <c r="D80" s="94"/>
      <c r="E80" s="101"/>
      <c r="F80" s="101"/>
      <c r="G80" s="101"/>
      <c r="H80" s="101"/>
      <c r="I80" s="85"/>
      <c r="J80" s="85"/>
      <c r="K80" s="85"/>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8"/>
      <c r="DQ80" s="58"/>
    </row>
    <row r="81" spans="1:121" s="54" customFormat="1" ht="17.25" customHeight="1">
      <c r="A81" s="55"/>
      <c r="B81" s="99" t="s">
        <v>76</v>
      </c>
      <c r="C81" s="94" t="s">
        <v>168</v>
      </c>
      <c r="D81" s="94" t="s">
        <v>395</v>
      </c>
      <c r="E81" s="92" t="s">
        <v>13</v>
      </c>
      <c r="F81" s="92" t="s">
        <v>116</v>
      </c>
      <c r="G81" s="92"/>
      <c r="H81" s="92">
        <v>1700</v>
      </c>
      <c r="I81" s="85"/>
      <c r="J81" s="85"/>
      <c r="K81" s="85"/>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8"/>
      <c r="DQ81" s="58"/>
    </row>
    <row r="82" spans="1:121" s="54" customFormat="1" ht="3" customHeight="1">
      <c r="A82" s="55"/>
      <c r="B82" s="99"/>
      <c r="C82" s="94"/>
      <c r="D82" s="84"/>
      <c r="E82" s="92"/>
      <c r="F82" s="92"/>
      <c r="G82" s="92"/>
      <c r="H82" s="92"/>
      <c r="I82" s="85"/>
      <c r="J82" s="85"/>
      <c r="K82" s="85"/>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8"/>
      <c r="DQ82" s="58"/>
    </row>
    <row r="83" spans="1:121" s="54" customFormat="1" ht="15">
      <c r="A83" s="55"/>
      <c r="B83" s="99" t="s">
        <v>165</v>
      </c>
      <c r="C83" s="94" t="s">
        <v>169</v>
      </c>
      <c r="D83" s="94" t="s">
        <v>395</v>
      </c>
      <c r="E83" s="92" t="s">
        <v>13</v>
      </c>
      <c r="F83" s="92" t="s">
        <v>116</v>
      </c>
      <c r="G83" s="92"/>
      <c r="H83" s="92">
        <v>1150</v>
      </c>
      <c r="I83" s="85"/>
      <c r="J83" s="85"/>
      <c r="K83" s="85"/>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8"/>
      <c r="DQ83" s="58"/>
    </row>
    <row r="84" spans="1:121" s="54" customFormat="1" ht="3" customHeight="1">
      <c r="A84" s="55"/>
      <c r="B84" s="99"/>
      <c r="C84" s="94"/>
      <c r="D84" s="84"/>
      <c r="E84" s="92"/>
      <c r="F84" s="92"/>
      <c r="G84" s="92"/>
      <c r="H84" s="92"/>
      <c r="I84" s="85"/>
      <c r="J84" s="85"/>
      <c r="K84" s="85"/>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8"/>
      <c r="DQ84" s="58"/>
    </row>
    <row r="85" spans="1:121" s="54" customFormat="1" ht="15">
      <c r="A85" s="55"/>
      <c r="B85" s="99" t="s">
        <v>80</v>
      </c>
      <c r="C85" s="106" t="s">
        <v>170</v>
      </c>
      <c r="D85" s="86" t="s">
        <v>475</v>
      </c>
      <c r="E85" s="92" t="s">
        <v>6</v>
      </c>
      <c r="F85" s="98" t="s">
        <v>172</v>
      </c>
      <c r="G85" s="92"/>
      <c r="H85" s="95"/>
      <c r="I85" s="85"/>
      <c r="J85" s="85"/>
      <c r="K85" s="85"/>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8"/>
      <c r="DQ85" s="58"/>
    </row>
    <row r="86" spans="1:121" s="52" customFormat="1" ht="3" customHeight="1">
      <c r="A86" s="55"/>
      <c r="B86" s="99"/>
      <c r="C86" s="106"/>
      <c r="D86" s="86"/>
      <c r="E86" s="83"/>
      <c r="F86" s="83"/>
      <c r="G86" s="83"/>
      <c r="H86" s="83"/>
      <c r="I86" s="86"/>
      <c r="J86" s="86"/>
      <c r="K86" s="86"/>
      <c r="M86" s="54"/>
      <c r="DP86" s="58"/>
      <c r="DQ86" s="58"/>
    </row>
    <row r="87" spans="1:121" s="52" customFormat="1" ht="13.8">
      <c r="A87" s="55"/>
      <c r="B87" s="99" t="s">
        <v>154</v>
      </c>
      <c r="C87" s="106" t="s">
        <v>155</v>
      </c>
      <c r="D87" s="86" t="s">
        <v>475</v>
      </c>
      <c r="E87" s="101" t="s">
        <v>6</v>
      </c>
      <c r="F87" s="101" t="s">
        <v>407</v>
      </c>
      <c r="G87" s="101"/>
      <c r="H87" s="95"/>
      <c r="I87" s="86"/>
      <c r="J87" s="86"/>
      <c r="K87" s="86"/>
      <c r="M87" s="54"/>
      <c r="DP87" s="58"/>
      <c r="DQ87" s="58"/>
    </row>
    <row r="88" spans="1:121" s="52" customFormat="1" ht="3" customHeight="1">
      <c r="A88" s="55"/>
      <c r="B88" s="99"/>
      <c r="C88" s="106"/>
      <c r="D88" s="161"/>
      <c r="E88" s="102"/>
      <c r="F88" s="102"/>
      <c r="G88" s="102"/>
      <c r="H88" s="83"/>
      <c r="I88" s="86"/>
      <c r="J88" s="86"/>
      <c r="K88" s="86"/>
      <c r="M88" s="54"/>
      <c r="DP88" s="58"/>
      <c r="DQ88" s="58"/>
    </row>
    <row r="89" spans="1:121" s="54" customFormat="1" ht="13.8">
      <c r="A89" s="77"/>
      <c r="B89" s="99" t="s">
        <v>164</v>
      </c>
      <c r="C89" s="106" t="s">
        <v>163</v>
      </c>
      <c r="D89" s="86" t="s">
        <v>475</v>
      </c>
      <c r="E89" s="101" t="s">
        <v>6</v>
      </c>
      <c r="F89" s="101" t="s">
        <v>172</v>
      </c>
      <c r="G89" s="101"/>
      <c r="H89" s="95"/>
      <c r="I89" s="85"/>
      <c r="J89" s="85"/>
      <c r="K89" s="85"/>
      <c r="DP89" s="176"/>
      <c r="DQ89" s="176"/>
    </row>
    <row r="90" spans="1:121" s="52" customFormat="1" ht="3" customHeight="1">
      <c r="A90" s="55"/>
      <c r="B90" s="99"/>
      <c r="C90" s="106"/>
      <c r="D90" s="83"/>
      <c r="E90" s="83"/>
      <c r="F90" s="83"/>
      <c r="G90" s="83"/>
      <c r="H90" s="83"/>
      <c r="I90" s="86"/>
      <c r="J90" s="86"/>
      <c r="K90" s="86"/>
      <c r="M90" s="54"/>
      <c r="DP90" s="58"/>
      <c r="DQ90" s="58"/>
    </row>
    <row r="91" spans="1:121" s="52" customFormat="1" ht="13.8">
      <c r="A91" s="55"/>
      <c r="B91" s="99" t="s">
        <v>156</v>
      </c>
      <c r="C91" s="106" t="s">
        <v>157</v>
      </c>
      <c r="D91" s="106"/>
      <c r="E91" s="101" t="s">
        <v>13</v>
      </c>
      <c r="F91" s="101" t="s">
        <v>408</v>
      </c>
      <c r="G91" s="101"/>
      <c r="H91" s="92">
        <v>15</v>
      </c>
      <c r="I91" s="86"/>
      <c r="J91" s="86"/>
      <c r="K91" s="86"/>
      <c r="M91" s="54"/>
      <c r="DP91" s="58"/>
      <c r="DQ91" s="58"/>
    </row>
    <row r="92" spans="1:121" s="52" customFormat="1" ht="3" customHeight="1">
      <c r="A92" s="55"/>
      <c r="B92" s="99"/>
      <c r="C92" s="106"/>
      <c r="D92" s="83"/>
      <c r="E92" s="83"/>
      <c r="F92" s="83"/>
      <c r="G92" s="83"/>
      <c r="H92" s="83"/>
      <c r="I92" s="86"/>
      <c r="J92" s="86"/>
      <c r="K92" s="86"/>
      <c r="M92" s="54"/>
      <c r="DP92" s="58"/>
      <c r="DQ92" s="58"/>
    </row>
    <row r="93" spans="1:121" s="52" customFormat="1" ht="15">
      <c r="A93" s="55"/>
      <c r="B93" s="99" t="s">
        <v>87</v>
      </c>
      <c r="C93" s="93" t="s">
        <v>86</v>
      </c>
      <c r="D93" s="83" t="s">
        <v>523</v>
      </c>
      <c r="E93" s="92" t="s">
        <v>13</v>
      </c>
      <c r="F93" s="101" t="s">
        <v>5</v>
      </c>
      <c r="G93" s="101"/>
      <c r="H93" s="92">
        <v>10</v>
      </c>
      <c r="I93" s="86"/>
      <c r="J93" s="86"/>
      <c r="K93" s="86"/>
      <c r="M93" s="54"/>
      <c r="DP93" s="58"/>
      <c r="DQ93" s="58"/>
    </row>
    <row r="94" spans="1:121" s="52" customFormat="1">
      <c r="A94" s="55"/>
      <c r="B94" s="99"/>
      <c r="C94" s="93"/>
      <c r="D94" s="83"/>
      <c r="E94" s="92"/>
      <c r="F94" s="101"/>
      <c r="G94" s="101"/>
      <c r="H94" s="86"/>
      <c r="I94" s="86"/>
      <c r="J94" s="86"/>
      <c r="K94" s="86"/>
      <c r="M94" s="54"/>
      <c r="DP94" s="58"/>
      <c r="DQ94" s="58"/>
    </row>
    <row r="95" spans="1:121" s="52" customFormat="1">
      <c r="A95" s="55"/>
      <c r="B95" s="334" t="s">
        <v>382</v>
      </c>
      <c r="C95" s="93"/>
      <c r="D95" s="83"/>
      <c r="E95" s="92"/>
      <c r="F95" s="101"/>
      <c r="G95" s="101"/>
      <c r="H95" s="86"/>
      <c r="I95" s="86"/>
      <c r="J95" s="86"/>
      <c r="K95" s="86"/>
      <c r="M95" s="54"/>
      <c r="DP95" s="58"/>
      <c r="DQ95" s="58"/>
    </row>
    <row r="96" spans="1:121" s="52" customFormat="1" ht="3" customHeight="1">
      <c r="A96" s="55"/>
      <c r="B96" s="334"/>
      <c r="C96" s="93"/>
      <c r="D96" s="83"/>
      <c r="E96" s="92"/>
      <c r="F96" s="101"/>
      <c r="G96" s="101"/>
      <c r="H96" s="86"/>
      <c r="I96" s="86"/>
      <c r="J96" s="86"/>
      <c r="K96" s="86"/>
      <c r="M96" s="54"/>
      <c r="DP96" s="58"/>
      <c r="DQ96" s="58"/>
    </row>
    <row r="97" spans="1:121" s="54" customFormat="1" ht="15">
      <c r="A97" s="55"/>
      <c r="B97" s="335" t="s">
        <v>74</v>
      </c>
      <c r="C97" s="94" t="s">
        <v>166</v>
      </c>
      <c r="D97" s="94" t="s">
        <v>335</v>
      </c>
      <c r="E97" s="92" t="s">
        <v>13</v>
      </c>
      <c r="F97" s="92" t="s">
        <v>48</v>
      </c>
      <c r="G97" s="92"/>
      <c r="H97" s="92">
        <v>0.05</v>
      </c>
      <c r="I97" s="85"/>
      <c r="J97" s="85"/>
      <c r="K97" s="85"/>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8"/>
      <c r="DQ97" s="58"/>
    </row>
    <row r="98" spans="1:121" s="54" customFormat="1" ht="3" customHeight="1">
      <c r="A98" s="55"/>
      <c r="B98" s="99"/>
      <c r="C98" s="94"/>
      <c r="D98" s="94"/>
      <c r="E98" s="92"/>
      <c r="F98" s="92"/>
      <c r="G98" s="92"/>
      <c r="H98" s="92"/>
      <c r="I98" s="85"/>
      <c r="J98" s="85"/>
      <c r="K98" s="85"/>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8"/>
      <c r="DQ98" s="58"/>
    </row>
    <row r="99" spans="1:121" s="52" customFormat="1" ht="25.2">
      <c r="A99" s="55"/>
      <c r="B99" s="335" t="s">
        <v>454</v>
      </c>
      <c r="C99" s="333" t="s">
        <v>376</v>
      </c>
      <c r="D99" s="305" t="s">
        <v>476</v>
      </c>
      <c r="E99" s="92" t="s">
        <v>6</v>
      </c>
      <c r="F99" s="101" t="s">
        <v>10</v>
      </c>
      <c r="G99" s="101"/>
      <c r="H99" s="441"/>
      <c r="I99" s="86"/>
      <c r="J99" s="86"/>
      <c r="K99" s="86"/>
      <c r="M99" s="54"/>
      <c r="DP99" s="58"/>
      <c r="DQ99" s="58"/>
    </row>
    <row r="100" spans="1:121" s="52" customFormat="1" ht="3" customHeight="1">
      <c r="A100" s="55"/>
      <c r="B100" s="335"/>
      <c r="C100" s="93"/>
      <c r="D100" s="83"/>
      <c r="E100" s="92"/>
      <c r="F100" s="101"/>
      <c r="G100" s="101"/>
      <c r="H100" s="86"/>
      <c r="I100" s="86"/>
      <c r="J100" s="86"/>
      <c r="K100" s="86"/>
      <c r="M100" s="54"/>
      <c r="DP100" s="58"/>
      <c r="DQ100" s="58"/>
    </row>
    <row r="101" spans="1:121" s="52" customFormat="1" ht="25.2">
      <c r="A101" s="55"/>
      <c r="B101" s="335" t="s">
        <v>373</v>
      </c>
      <c r="C101" s="99" t="s">
        <v>378</v>
      </c>
      <c r="D101" s="83"/>
      <c r="E101" s="92" t="s">
        <v>6</v>
      </c>
      <c r="F101" s="101" t="s">
        <v>90</v>
      </c>
      <c r="G101" s="101"/>
      <c r="H101" s="441"/>
      <c r="I101" s="86"/>
      <c r="J101" s="86"/>
      <c r="K101" s="86"/>
      <c r="M101" s="54"/>
      <c r="DP101" s="58"/>
      <c r="DQ101" s="58"/>
    </row>
    <row r="102" spans="1:121" s="52" customFormat="1" ht="3" customHeight="1">
      <c r="A102" s="55"/>
      <c r="B102" s="335"/>
      <c r="C102" s="93"/>
      <c r="D102" s="83"/>
      <c r="E102" s="92"/>
      <c r="F102" s="101"/>
      <c r="G102" s="101"/>
      <c r="H102" s="86"/>
      <c r="I102" s="86"/>
      <c r="J102" s="86"/>
      <c r="K102" s="86"/>
      <c r="M102" s="54"/>
      <c r="DP102" s="58"/>
      <c r="DQ102" s="58"/>
    </row>
    <row r="103" spans="1:121" s="52" customFormat="1" ht="25.2">
      <c r="A103" s="55"/>
      <c r="B103" s="335" t="s">
        <v>383</v>
      </c>
      <c r="C103" s="99" t="s">
        <v>379</v>
      </c>
      <c r="D103" s="83"/>
      <c r="E103" s="92" t="s">
        <v>6</v>
      </c>
      <c r="F103" s="101" t="s">
        <v>90</v>
      </c>
      <c r="G103" s="101"/>
      <c r="H103" s="441"/>
      <c r="I103" s="86"/>
      <c r="J103" s="86"/>
      <c r="K103" s="86"/>
      <c r="M103" s="54"/>
      <c r="DP103" s="58"/>
      <c r="DQ103" s="58"/>
    </row>
    <row r="104" spans="1:121" s="52" customFormat="1" ht="3" customHeight="1">
      <c r="A104" s="55"/>
      <c r="B104" s="335"/>
      <c r="C104" s="93"/>
      <c r="D104" s="83"/>
      <c r="E104" s="92"/>
      <c r="F104" s="92"/>
      <c r="G104" s="92"/>
      <c r="H104" s="83"/>
      <c r="I104" s="86"/>
      <c r="J104" s="86"/>
      <c r="K104" s="86"/>
      <c r="M104" s="54"/>
      <c r="DP104" s="58"/>
      <c r="DQ104" s="58"/>
    </row>
    <row r="105" spans="1:121" s="52" customFormat="1" ht="25.2">
      <c r="A105" s="55"/>
      <c r="B105" s="335" t="s">
        <v>385</v>
      </c>
      <c r="C105" s="93" t="s">
        <v>388</v>
      </c>
      <c r="D105" s="83" t="s">
        <v>391</v>
      </c>
      <c r="E105" s="92" t="s">
        <v>8</v>
      </c>
      <c r="F105" s="101" t="s">
        <v>90</v>
      </c>
      <c r="G105" s="101"/>
      <c r="H105" s="142" t="str">
        <f>IF(ISNUMBER(DT50bio_soil_gr), IF(DT50bio_soil_gr=0,0,LN(2)/DT50bio_soil_gr),"??")</f>
        <v>??</v>
      </c>
      <c r="I105" s="161"/>
      <c r="J105" s="86"/>
      <c r="K105" s="86"/>
      <c r="M105" s="54"/>
      <c r="DP105" s="58"/>
      <c r="DQ105" s="58"/>
    </row>
    <row r="106" spans="1:121" s="52" customFormat="1" ht="3" customHeight="1">
      <c r="A106" s="55"/>
      <c r="B106" s="335"/>
      <c r="C106" s="93"/>
      <c r="D106" s="83"/>
      <c r="E106" s="92"/>
      <c r="F106" s="101"/>
      <c r="G106" s="101"/>
      <c r="H106" s="105"/>
      <c r="I106" s="86"/>
      <c r="J106" s="86"/>
      <c r="K106" s="86"/>
      <c r="M106" s="54"/>
      <c r="DP106" s="58"/>
      <c r="DQ106" s="58"/>
    </row>
    <row r="107" spans="1:121" ht="13.8">
      <c r="B107" s="336" t="s">
        <v>386</v>
      </c>
      <c r="C107" s="84" t="s">
        <v>380</v>
      </c>
      <c r="D107" s="83" t="s">
        <v>396</v>
      </c>
      <c r="E107" s="92" t="s">
        <v>8</v>
      </c>
      <c r="F107" s="101" t="s">
        <v>90</v>
      </c>
      <c r="G107" s="101"/>
      <c r="H107" s="142" t="str">
        <f>IF(AND(ISNUMBER(kvolat_gr),ISNUMBER(kleach_gr),ISNUMBER(kdeg_gr)),kvolat_gr+kleach_gr+kdeg_gr,"??")</f>
        <v>??</v>
      </c>
      <c r="I107" s="86"/>
      <c r="J107" s="86"/>
      <c r="K107" s="86"/>
      <c r="L107" s="52"/>
    </row>
    <row r="108" spans="1:121" ht="3" customHeight="1">
      <c r="B108" s="93"/>
      <c r="C108" s="84"/>
      <c r="D108" s="83"/>
      <c r="E108" s="92"/>
      <c r="F108" s="101"/>
      <c r="G108" s="101"/>
      <c r="H108" s="105"/>
      <c r="I108" s="86"/>
      <c r="J108" s="86"/>
      <c r="K108" s="86"/>
      <c r="L108" s="52"/>
    </row>
    <row r="109" spans="1:121" s="54" customFormat="1" ht="15">
      <c r="A109" s="55"/>
      <c r="B109" s="336" t="s">
        <v>72</v>
      </c>
      <c r="C109" s="84" t="s">
        <v>46</v>
      </c>
      <c r="D109" s="94" t="s">
        <v>187</v>
      </c>
      <c r="E109" s="92" t="s">
        <v>13</v>
      </c>
      <c r="F109" s="101" t="s">
        <v>71</v>
      </c>
      <c r="G109" s="101"/>
      <c r="H109" s="101">
        <v>170</v>
      </c>
      <c r="I109" s="85"/>
      <c r="J109" s="85"/>
      <c r="K109" s="85"/>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8"/>
      <c r="DQ109" s="58"/>
    </row>
    <row r="110" spans="1:121" s="54" customFormat="1">
      <c r="A110" s="55"/>
      <c r="B110" s="93"/>
      <c r="C110" s="84"/>
      <c r="D110" s="94"/>
      <c r="E110" s="92"/>
      <c r="F110" s="101"/>
      <c r="G110" s="101"/>
      <c r="H110" s="101"/>
      <c r="I110" s="85"/>
      <c r="J110" s="85"/>
      <c r="K110" s="85"/>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8"/>
      <c r="DQ110" s="58"/>
    </row>
    <row r="111" spans="1:121" s="54" customFormat="1">
      <c r="A111" s="55"/>
      <c r="B111" s="334" t="s">
        <v>384</v>
      </c>
      <c r="C111" s="93"/>
      <c r="D111" s="83"/>
      <c r="E111" s="92"/>
      <c r="F111" s="101"/>
      <c r="G111" s="101"/>
      <c r="H111" s="86"/>
      <c r="I111" s="85"/>
      <c r="J111" s="85"/>
      <c r="K111" s="85"/>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8"/>
      <c r="DQ111" s="58"/>
    </row>
    <row r="112" spans="1:121" s="54" customFormat="1" ht="3" customHeight="1">
      <c r="A112" s="55"/>
      <c r="B112" s="334"/>
      <c r="C112" s="93"/>
      <c r="D112" s="83"/>
      <c r="E112" s="92"/>
      <c r="F112" s="101"/>
      <c r="G112" s="101"/>
      <c r="H112" s="86"/>
      <c r="I112" s="85"/>
      <c r="J112" s="85"/>
      <c r="K112" s="85"/>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8"/>
      <c r="DQ112" s="58"/>
    </row>
    <row r="113" spans="1:121" s="54" customFormat="1" ht="15">
      <c r="A113" s="55"/>
      <c r="B113" s="335" t="s">
        <v>75</v>
      </c>
      <c r="C113" s="94" t="s">
        <v>167</v>
      </c>
      <c r="D113" s="94" t="s">
        <v>335</v>
      </c>
      <c r="E113" s="92" t="s">
        <v>13</v>
      </c>
      <c r="F113" s="92" t="s">
        <v>48</v>
      </c>
      <c r="G113" s="92"/>
      <c r="H113" s="104">
        <v>0.2</v>
      </c>
      <c r="I113" s="85"/>
      <c r="J113" s="85"/>
      <c r="K113" s="85"/>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8"/>
      <c r="DQ113" s="58"/>
    </row>
    <row r="114" spans="1:121" s="54" customFormat="1" ht="3" customHeight="1">
      <c r="A114" s="55"/>
      <c r="B114" s="99"/>
      <c r="C114" s="94"/>
      <c r="D114" s="94"/>
      <c r="E114" s="92"/>
      <c r="F114" s="92"/>
      <c r="G114" s="92"/>
      <c r="H114" s="92"/>
      <c r="I114" s="85"/>
      <c r="J114" s="85"/>
      <c r="K114" s="85"/>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8"/>
      <c r="DQ114" s="58"/>
    </row>
    <row r="115" spans="1:121" s="54" customFormat="1" ht="26.4">
      <c r="A115" s="55"/>
      <c r="B115" s="335" t="s">
        <v>509</v>
      </c>
      <c r="C115" s="333" t="s">
        <v>398</v>
      </c>
      <c r="D115" s="305" t="s">
        <v>477</v>
      </c>
      <c r="E115" s="92" t="s">
        <v>6</v>
      </c>
      <c r="F115" s="101" t="s">
        <v>10</v>
      </c>
      <c r="G115" s="101"/>
      <c r="H115" s="441"/>
      <c r="I115" s="85"/>
      <c r="J115" s="85"/>
      <c r="K115" s="85"/>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8"/>
      <c r="DQ115" s="58"/>
    </row>
    <row r="116" spans="1:121" s="54" customFormat="1" ht="3" customHeight="1">
      <c r="A116" s="55"/>
      <c r="B116" s="335"/>
      <c r="C116" s="93"/>
      <c r="D116" s="83"/>
      <c r="E116" s="92"/>
      <c r="F116" s="101"/>
      <c r="G116" s="101"/>
      <c r="H116" s="86"/>
      <c r="I116" s="85"/>
      <c r="J116" s="85"/>
      <c r="K116" s="85"/>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8"/>
      <c r="DQ116" s="58"/>
    </row>
    <row r="117" spans="1:121" s="54" customFormat="1" ht="24.9" customHeight="1">
      <c r="A117" s="55"/>
      <c r="B117" s="335" t="s">
        <v>381</v>
      </c>
      <c r="C117" s="99" t="s">
        <v>374</v>
      </c>
      <c r="D117" s="83"/>
      <c r="E117" s="92" t="s">
        <v>6</v>
      </c>
      <c r="F117" s="101" t="s">
        <v>90</v>
      </c>
      <c r="G117" s="101"/>
      <c r="H117" s="441"/>
      <c r="I117" s="85"/>
      <c r="J117" s="85"/>
      <c r="K117" s="85"/>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8"/>
      <c r="DQ117" s="58"/>
    </row>
    <row r="118" spans="1:121" s="54" customFormat="1" ht="3" customHeight="1">
      <c r="A118" s="55"/>
      <c r="B118" s="335"/>
      <c r="C118" s="93"/>
      <c r="D118" s="83"/>
      <c r="E118" s="92"/>
      <c r="F118" s="101"/>
      <c r="G118" s="101"/>
      <c r="H118" s="86"/>
      <c r="I118" s="85"/>
      <c r="J118" s="85"/>
      <c r="K118" s="85"/>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8"/>
      <c r="DQ118" s="58"/>
    </row>
    <row r="119" spans="1:121" s="54" customFormat="1" ht="25.2">
      <c r="A119" s="55"/>
      <c r="B119" s="335" t="s">
        <v>392</v>
      </c>
      <c r="C119" s="99" t="s">
        <v>375</v>
      </c>
      <c r="D119" s="83"/>
      <c r="E119" s="92" t="s">
        <v>6</v>
      </c>
      <c r="F119" s="101" t="s">
        <v>90</v>
      </c>
      <c r="G119" s="101"/>
      <c r="H119" s="441"/>
      <c r="I119" s="85"/>
      <c r="J119" s="85"/>
      <c r="K119" s="85"/>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8"/>
      <c r="DQ119" s="58"/>
    </row>
    <row r="120" spans="1:121" s="54" customFormat="1" ht="3" customHeight="1">
      <c r="A120" s="55"/>
      <c r="B120" s="335"/>
      <c r="C120" s="93"/>
      <c r="D120" s="83"/>
      <c r="E120" s="92"/>
      <c r="F120" s="92"/>
      <c r="G120" s="92"/>
      <c r="H120" s="83"/>
      <c r="I120" s="85"/>
      <c r="J120" s="85"/>
      <c r="K120" s="85"/>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8"/>
      <c r="DQ120" s="58"/>
    </row>
    <row r="121" spans="1:121" s="54" customFormat="1" ht="25.2">
      <c r="A121" s="55"/>
      <c r="B121" s="335" t="s">
        <v>393</v>
      </c>
      <c r="C121" s="93" t="s">
        <v>389</v>
      </c>
      <c r="D121" s="83" t="s">
        <v>399</v>
      </c>
      <c r="E121" s="92" t="s">
        <v>8</v>
      </c>
      <c r="F121" s="101" t="s">
        <v>90</v>
      </c>
      <c r="G121" s="101"/>
      <c r="H121" s="142" t="str">
        <f>IF(ISNUMBER(DT50bio_soil_ar), IF(DT50bio_soil_ar=0,0,LN(2)/DT50bio_soil_ar),"??")</f>
        <v>??</v>
      </c>
      <c r="I121" s="85"/>
      <c r="J121" s="85"/>
      <c r="K121" s="85"/>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8"/>
      <c r="DQ121" s="58"/>
    </row>
    <row r="122" spans="1:121" s="54" customFormat="1" ht="3" customHeight="1">
      <c r="A122" s="55"/>
      <c r="B122" s="335"/>
      <c r="C122" s="93"/>
      <c r="D122" s="83"/>
      <c r="E122" s="92"/>
      <c r="F122" s="101"/>
      <c r="G122" s="101"/>
      <c r="H122" s="105"/>
      <c r="I122" s="85"/>
      <c r="J122" s="85"/>
      <c r="K122" s="85"/>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8"/>
      <c r="DQ122" s="58"/>
    </row>
    <row r="123" spans="1:121" s="54" customFormat="1" ht="13.8">
      <c r="A123" s="55"/>
      <c r="B123" s="336" t="s">
        <v>394</v>
      </c>
      <c r="C123" s="84" t="s">
        <v>387</v>
      </c>
      <c r="D123" s="83" t="s">
        <v>397</v>
      </c>
      <c r="E123" s="92" t="s">
        <v>8</v>
      </c>
      <c r="F123" s="101" t="s">
        <v>90</v>
      </c>
      <c r="G123" s="101"/>
      <c r="H123" s="142" t="str">
        <f>IF(AND(ISNUMBER(kvolat_ar),ISNUMBER(kleach_ar),ISNUMBER(kdeg_ar)),kvolat_ar+kleach_ar+kdeg_ar,"??")</f>
        <v>??</v>
      </c>
      <c r="I123" s="85"/>
      <c r="J123" s="85"/>
      <c r="K123" s="85"/>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8"/>
      <c r="DQ123" s="58"/>
    </row>
    <row r="124" spans="1:121" s="54" customFormat="1" ht="3" customHeight="1">
      <c r="A124" s="55"/>
      <c r="B124" s="93"/>
      <c r="C124" s="84"/>
      <c r="D124" s="84"/>
      <c r="E124" s="92"/>
      <c r="F124" s="101"/>
      <c r="G124" s="101"/>
      <c r="H124" s="101"/>
      <c r="I124" s="85"/>
      <c r="J124" s="85"/>
      <c r="K124" s="85"/>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8"/>
      <c r="DQ124" s="58"/>
    </row>
    <row r="125" spans="1:121" s="54" customFormat="1" ht="29.25" customHeight="1">
      <c r="A125" s="55"/>
      <c r="B125" s="336" t="s">
        <v>73</v>
      </c>
      <c r="C125" s="84" t="s">
        <v>47</v>
      </c>
      <c r="D125" s="94" t="s">
        <v>187</v>
      </c>
      <c r="E125" s="92" t="s">
        <v>13</v>
      </c>
      <c r="F125" s="101" t="s">
        <v>71</v>
      </c>
      <c r="G125" s="101"/>
      <c r="H125" s="101">
        <v>170</v>
      </c>
      <c r="I125" s="85"/>
      <c r="J125" s="85"/>
      <c r="K125" s="85"/>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8"/>
      <c r="DQ125" s="58"/>
    </row>
    <row r="126" spans="1:121" s="54" customFormat="1">
      <c r="A126" s="55"/>
      <c r="B126" s="93"/>
      <c r="C126" s="84"/>
      <c r="D126" s="94"/>
      <c r="E126" s="92"/>
      <c r="F126" s="101"/>
      <c r="G126" s="101"/>
      <c r="H126" s="101"/>
      <c r="I126" s="85"/>
      <c r="J126" s="85"/>
      <c r="K126" s="85"/>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8"/>
      <c r="DQ126" s="58"/>
    </row>
    <row r="127" spans="1:121" s="55" customFormat="1" ht="50.4">
      <c r="B127" s="106" t="s">
        <v>112</v>
      </c>
      <c r="C127" s="93" t="s">
        <v>101</v>
      </c>
      <c r="D127" s="83" t="s">
        <v>188</v>
      </c>
      <c r="E127" s="107"/>
      <c r="F127" s="107"/>
      <c r="G127" s="107"/>
      <c r="H127" s="107"/>
      <c r="I127" s="437" t="s">
        <v>514</v>
      </c>
      <c r="J127" s="437" t="s">
        <v>513</v>
      </c>
      <c r="K127" s="86"/>
      <c r="L127" s="52"/>
      <c r="M127" s="52"/>
      <c r="N127" s="52"/>
      <c r="O127" s="52"/>
      <c r="P127" s="52"/>
      <c r="Q127" s="52"/>
      <c r="R127" s="52"/>
      <c r="S127" s="52"/>
      <c r="T127" s="52"/>
      <c r="U127" s="52"/>
      <c r="V127" s="52"/>
      <c r="W127" s="52"/>
      <c r="X127" s="52"/>
      <c r="Y127" s="52"/>
      <c r="Z127" s="52"/>
      <c r="AA127" s="52"/>
      <c r="AB127" s="52"/>
    </row>
    <row r="128" spans="1:121" s="52" customFormat="1" ht="14.4">
      <c r="B128" s="111" t="s">
        <v>100</v>
      </c>
      <c r="C128" s="90" t="s">
        <v>97</v>
      </c>
      <c r="D128" s="94" t="s">
        <v>524</v>
      </c>
      <c r="E128" s="98" t="s">
        <v>13</v>
      </c>
      <c r="F128" s="98" t="s">
        <v>98</v>
      </c>
      <c r="G128" s="98"/>
      <c r="H128" s="98"/>
      <c r="I128" s="169">
        <f>'Pick-lists &amp; Defaults'!L16</f>
        <v>0.33889999999999998</v>
      </c>
      <c r="J128" s="169">
        <f>'Pick-lists &amp; Defaults'!L17</f>
        <v>0.14316000000000001</v>
      </c>
      <c r="K128" s="86"/>
    </row>
    <row r="129" spans="1:121" s="52" customFormat="1" ht="3" customHeight="1">
      <c r="B129" s="111"/>
      <c r="C129" s="90"/>
      <c r="D129" s="86"/>
      <c r="E129" s="97"/>
      <c r="F129" s="98"/>
      <c r="G129" s="98"/>
      <c r="H129" s="98"/>
      <c r="I129" s="188"/>
      <c r="J129" s="188"/>
      <c r="K129" s="86"/>
    </row>
    <row r="130" spans="1:121" s="52" customFormat="1" ht="14.4">
      <c r="B130" s="96" t="s">
        <v>96</v>
      </c>
      <c r="C130" s="110" t="s">
        <v>45</v>
      </c>
      <c r="D130" s="94" t="s">
        <v>190</v>
      </c>
      <c r="E130" s="98" t="s">
        <v>13</v>
      </c>
      <c r="F130" s="101" t="s">
        <v>5</v>
      </c>
      <c r="G130" s="101"/>
      <c r="H130" s="97"/>
      <c r="I130" s="169">
        <f>'Pick-lists &amp; Defaults'!C16</f>
        <v>100</v>
      </c>
      <c r="J130" s="169">
        <f>'Pick-lists &amp; Defaults'!C17</f>
        <v>100</v>
      </c>
      <c r="K130" s="86"/>
    </row>
    <row r="131" spans="1:121" s="52" customFormat="1">
      <c r="B131" s="96"/>
      <c r="C131" s="110"/>
      <c r="D131" s="94"/>
      <c r="E131" s="98"/>
      <c r="F131" s="101"/>
      <c r="G131" s="101"/>
      <c r="H131" s="97"/>
      <c r="I131" s="92"/>
      <c r="J131" s="92"/>
      <c r="K131" s="86"/>
    </row>
    <row r="132" spans="1:121" s="52" customFormat="1">
      <c r="B132" s="96" t="s">
        <v>352</v>
      </c>
      <c r="C132" s="110" t="s">
        <v>351</v>
      </c>
      <c r="D132" s="85" t="s">
        <v>552</v>
      </c>
      <c r="E132" s="98" t="s">
        <v>13</v>
      </c>
      <c r="F132" s="101" t="s">
        <v>5</v>
      </c>
      <c r="G132" s="101"/>
      <c r="H132" s="97"/>
      <c r="I132" s="92">
        <v>82</v>
      </c>
      <c r="J132" s="92">
        <v>82</v>
      </c>
      <c r="K132" s="86"/>
    </row>
    <row r="133" spans="1:121" s="54" customFormat="1">
      <c r="A133" s="55"/>
      <c r="B133" s="93"/>
      <c r="C133" s="84"/>
      <c r="D133" s="84"/>
      <c r="E133" s="92"/>
      <c r="F133" s="92"/>
      <c r="G133" s="92"/>
      <c r="H133" s="92"/>
      <c r="I133" s="92"/>
      <c r="J133" s="106"/>
      <c r="K133" s="106"/>
      <c r="L133" s="77"/>
      <c r="M133" s="77"/>
      <c r="N133" s="55"/>
      <c r="O133" s="55"/>
      <c r="P133" s="55"/>
      <c r="Q133" s="55"/>
      <c r="R133" s="55"/>
      <c r="S133" s="55"/>
      <c r="T133" s="55"/>
      <c r="U133" s="55"/>
      <c r="V133" s="55"/>
      <c r="W133" s="55"/>
      <c r="X133" s="55"/>
      <c r="Y133" s="55"/>
      <c r="Z133" s="55"/>
      <c r="AA133" s="55"/>
      <c r="AB133" s="55"/>
      <c r="AC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8"/>
      <c r="DQ133" s="58"/>
    </row>
    <row r="134" spans="1:121" s="52" customFormat="1" ht="16.2">
      <c r="A134" s="55"/>
      <c r="B134" s="80" t="s">
        <v>49</v>
      </c>
      <c r="C134" s="80"/>
      <c r="D134" s="81"/>
      <c r="E134" s="81"/>
      <c r="F134" s="81"/>
      <c r="G134" s="81"/>
      <c r="H134" s="81"/>
      <c r="I134" s="81"/>
      <c r="J134" s="81"/>
      <c r="K134" s="81"/>
      <c r="L134" s="292"/>
      <c r="M134" s="292"/>
      <c r="N134" s="292"/>
      <c r="O134" s="292"/>
      <c r="P134" s="292"/>
      <c r="Q134" s="292"/>
      <c r="R134" s="292"/>
      <c r="S134" s="292"/>
      <c r="T134" s="292"/>
      <c r="U134" s="292"/>
      <c r="V134" s="292"/>
      <c r="W134" s="292"/>
      <c r="X134" s="292"/>
      <c r="Y134" s="292"/>
      <c r="Z134" s="292"/>
      <c r="AA134" s="292"/>
      <c r="AB134" s="292"/>
      <c r="DP134" s="58"/>
      <c r="DQ134" s="58"/>
    </row>
    <row r="135" spans="1:121" s="52" customFormat="1">
      <c r="A135" s="55"/>
      <c r="B135" s="83"/>
      <c r="C135" s="83"/>
      <c r="D135" s="83"/>
      <c r="E135" s="83"/>
      <c r="F135" s="83"/>
      <c r="G135" s="83"/>
      <c r="H135" s="83"/>
      <c r="I135" s="83"/>
      <c r="J135" s="83"/>
      <c r="K135" s="83"/>
      <c r="L135" s="57"/>
      <c r="M135" s="77"/>
      <c r="N135" s="55"/>
      <c r="O135" s="55"/>
      <c r="P135" s="55"/>
      <c r="Q135" s="55"/>
      <c r="R135" s="55"/>
      <c r="S135" s="55"/>
      <c r="T135" s="55"/>
      <c r="U135" s="55"/>
      <c r="V135" s="55"/>
      <c r="W135" s="55"/>
      <c r="X135" s="55"/>
      <c r="Y135" s="55"/>
      <c r="Z135" s="55"/>
      <c r="AA135" s="55"/>
      <c r="AB135" s="55"/>
      <c r="DP135" s="58"/>
      <c r="DQ135" s="58"/>
    </row>
    <row r="136" spans="1:121" s="52" customFormat="1" ht="13.8">
      <c r="A136" s="55"/>
      <c r="B136" s="87" t="s">
        <v>2</v>
      </c>
      <c r="C136" s="88" t="s">
        <v>4</v>
      </c>
      <c r="D136" s="88" t="s">
        <v>9</v>
      </c>
      <c r="E136" s="89" t="s">
        <v>11</v>
      </c>
      <c r="F136" s="89" t="s">
        <v>3</v>
      </c>
      <c r="G136" s="89"/>
      <c r="H136" s="89" t="s">
        <v>7</v>
      </c>
      <c r="I136" s="86"/>
      <c r="J136" s="83"/>
      <c r="K136" s="83"/>
      <c r="L136" s="55"/>
      <c r="M136" s="77"/>
      <c r="N136" s="55"/>
      <c r="O136" s="55"/>
      <c r="P136" s="55"/>
      <c r="Q136" s="55"/>
      <c r="R136" s="55"/>
      <c r="S136" s="55"/>
      <c r="T136" s="55"/>
      <c r="U136" s="55"/>
      <c r="V136" s="55"/>
      <c r="W136" s="55"/>
      <c r="X136" s="55"/>
      <c r="Y136" s="55"/>
      <c r="Z136" s="55"/>
      <c r="AA136" s="55"/>
      <c r="AB136" s="55"/>
      <c r="DP136" s="58"/>
      <c r="DQ136" s="58"/>
    </row>
    <row r="137" spans="1:121" s="52" customFormat="1">
      <c r="A137" s="55"/>
      <c r="B137" s="113"/>
      <c r="C137" s="113"/>
      <c r="D137" s="84"/>
      <c r="E137" s="113"/>
      <c r="F137" s="113"/>
      <c r="G137" s="113"/>
      <c r="H137" s="113"/>
      <c r="I137" s="86"/>
      <c r="J137" s="83"/>
      <c r="K137" s="83"/>
      <c r="L137" s="55"/>
      <c r="M137" s="77"/>
      <c r="N137" s="55"/>
      <c r="O137" s="55"/>
      <c r="P137" s="55"/>
      <c r="Q137" s="55"/>
      <c r="R137" s="55"/>
      <c r="S137" s="55"/>
      <c r="T137" s="55"/>
      <c r="U137" s="55"/>
      <c r="V137" s="55"/>
      <c r="W137" s="55"/>
      <c r="X137" s="55"/>
      <c r="Y137" s="55"/>
      <c r="Z137" s="55"/>
      <c r="AA137" s="55"/>
      <c r="AB137" s="55"/>
      <c r="DP137" s="58"/>
      <c r="DQ137" s="58"/>
    </row>
    <row r="138" spans="1:121" s="52" customFormat="1" ht="25.2">
      <c r="A138" s="55"/>
      <c r="B138" s="99" t="s">
        <v>129</v>
      </c>
      <c r="C138" s="106" t="s">
        <v>127</v>
      </c>
      <c r="D138" s="305" t="s">
        <v>588</v>
      </c>
      <c r="E138" s="101" t="s">
        <v>6</v>
      </c>
      <c r="F138" s="101" t="s">
        <v>5</v>
      </c>
      <c r="G138" s="101"/>
      <c r="H138" s="101">
        <v>1</v>
      </c>
      <c r="I138" s="86"/>
      <c r="J138" s="101"/>
      <c r="K138" s="83"/>
      <c r="L138" s="55"/>
      <c r="M138" s="55"/>
      <c r="N138" s="55"/>
      <c r="O138" s="55"/>
      <c r="P138" s="55"/>
      <c r="Q138" s="55"/>
      <c r="R138" s="55"/>
      <c r="S138" s="55"/>
      <c r="T138" s="55"/>
      <c r="U138" s="55"/>
      <c r="V138" s="55"/>
      <c r="W138" s="55"/>
      <c r="X138" s="55"/>
      <c r="Y138" s="55"/>
      <c r="Z138" s="55"/>
      <c r="AA138" s="55"/>
      <c r="AB138" s="55"/>
      <c r="DP138" s="58"/>
      <c r="DQ138" s="58"/>
    </row>
    <row r="139" spans="1:121" s="52" customFormat="1" ht="3" customHeight="1">
      <c r="A139" s="55"/>
      <c r="B139" s="162"/>
      <c r="C139" s="107"/>
      <c r="D139" s="162"/>
      <c r="E139" s="101"/>
      <c r="F139" s="101"/>
      <c r="G139" s="101"/>
      <c r="H139" s="448"/>
      <c r="I139" s="86"/>
      <c r="J139" s="101"/>
      <c r="K139" s="83"/>
      <c r="L139" s="55"/>
      <c r="M139" s="55"/>
      <c r="N139" s="55"/>
      <c r="O139" s="55"/>
      <c r="P139" s="55"/>
      <c r="Q139" s="55"/>
      <c r="R139" s="55"/>
      <c r="S139" s="55"/>
      <c r="T139" s="55"/>
      <c r="U139" s="55"/>
      <c r="V139" s="55"/>
      <c r="W139" s="55"/>
      <c r="X139" s="55"/>
      <c r="Y139" s="55"/>
      <c r="Z139" s="55"/>
      <c r="AA139" s="55"/>
      <c r="AB139" s="55"/>
      <c r="DP139" s="58"/>
      <c r="DQ139" s="58"/>
    </row>
    <row r="140" spans="1:121" s="52" customFormat="1" ht="40.799999999999997" customHeight="1">
      <c r="A140" s="55"/>
      <c r="B140" s="99" t="s">
        <v>152</v>
      </c>
      <c r="C140" s="106" t="s">
        <v>128</v>
      </c>
      <c r="D140" s="305" t="s">
        <v>589</v>
      </c>
      <c r="E140" s="101" t="s">
        <v>8</v>
      </c>
      <c r="F140" s="101" t="s">
        <v>5</v>
      </c>
      <c r="G140" s="101"/>
      <c r="H140" s="318" t="str">
        <f>IF(AND(ISNUMBER(Napp_bioc),ISNUMBER(Tbioc_int)),IF((Nlapp_grass*Tgr_int/Tbioc_int)&gt;Napp_bioc,Napp_bioc/Nlapp_grass,Tgr_int/Tbioc_int),"??")</f>
        <v>??</v>
      </c>
      <c r="I140" s="86"/>
      <c r="J140" s="101"/>
      <c r="K140" s="83"/>
      <c r="L140" s="55"/>
      <c r="M140" s="55"/>
      <c r="N140" s="55"/>
      <c r="O140" s="55"/>
      <c r="P140" s="55"/>
      <c r="Q140" s="55"/>
      <c r="R140" s="55"/>
      <c r="S140" s="55"/>
      <c r="T140" s="55"/>
      <c r="U140" s="55"/>
      <c r="V140" s="55"/>
      <c r="W140" s="55"/>
      <c r="X140" s="55"/>
      <c r="Y140" s="55"/>
      <c r="Z140" s="55"/>
      <c r="AA140" s="55"/>
      <c r="AB140" s="55"/>
      <c r="DP140" s="58"/>
      <c r="DQ140" s="58"/>
    </row>
    <row r="141" spans="1:121" s="52" customFormat="1" ht="3" customHeight="1">
      <c r="A141" s="55"/>
      <c r="B141" s="135"/>
      <c r="C141" s="135"/>
      <c r="D141" s="94"/>
      <c r="E141" s="113"/>
      <c r="F141" s="113"/>
      <c r="G141" s="113"/>
      <c r="H141" s="116"/>
      <c r="I141" s="86"/>
      <c r="J141" s="101"/>
      <c r="K141" s="83"/>
      <c r="L141" s="55"/>
      <c r="M141" s="55"/>
      <c r="N141" s="55"/>
      <c r="O141" s="55"/>
      <c r="P141" s="55"/>
      <c r="Q141" s="55"/>
      <c r="R141" s="55"/>
      <c r="S141" s="55"/>
      <c r="T141" s="55"/>
      <c r="U141" s="55"/>
      <c r="V141" s="55"/>
      <c r="W141" s="55"/>
      <c r="X141" s="55"/>
      <c r="Y141" s="55"/>
      <c r="Z141" s="55"/>
      <c r="AA141" s="55"/>
      <c r="AB141" s="55"/>
      <c r="DP141" s="58"/>
      <c r="DQ141" s="58"/>
    </row>
    <row r="142" spans="1:121" s="52" customFormat="1" ht="13.8">
      <c r="A142" s="55"/>
      <c r="B142" s="99" t="s">
        <v>151</v>
      </c>
      <c r="C142" s="106" t="s">
        <v>103</v>
      </c>
      <c r="D142" s="99" t="s">
        <v>336</v>
      </c>
      <c r="E142" s="92" t="s">
        <v>8</v>
      </c>
      <c r="F142" s="92" t="s">
        <v>50</v>
      </c>
      <c r="G142" s="92"/>
      <c r="H142" s="442" t="str">
        <f>IF(AND(ISNUMBER(Fbioc),ISNUMBER(Vprod),ISNUMBER(Fdil)),0.001*Fbioc*Vprod*Fdil,"??")</f>
        <v>??</v>
      </c>
      <c r="I142" s="86"/>
      <c r="J142" s="101"/>
      <c r="K142" s="83"/>
      <c r="L142" s="55"/>
      <c r="M142" s="55"/>
      <c r="N142" s="55"/>
      <c r="O142" s="55"/>
      <c r="P142" s="55"/>
      <c r="Q142" s="55"/>
      <c r="R142" s="55"/>
      <c r="S142" s="55"/>
      <c r="T142" s="55"/>
      <c r="U142" s="55"/>
      <c r="V142" s="55"/>
      <c r="W142" s="55"/>
      <c r="X142" s="55"/>
      <c r="Y142" s="55"/>
      <c r="Z142" s="55"/>
      <c r="AA142" s="55"/>
      <c r="AB142" s="55"/>
    </row>
    <row r="143" spans="1:121" s="52" customFormat="1">
      <c r="A143" s="55"/>
      <c r="B143" s="96"/>
      <c r="C143" s="96"/>
      <c r="D143" s="96"/>
      <c r="E143" s="96"/>
      <c r="F143" s="83"/>
      <c r="G143" s="83"/>
      <c r="H143" s="83"/>
      <c r="I143" s="436"/>
      <c r="J143" s="101"/>
      <c r="K143" s="83"/>
      <c r="L143" s="55"/>
      <c r="M143" s="77"/>
      <c r="N143" s="55"/>
      <c r="O143" s="55"/>
      <c r="P143" s="55"/>
      <c r="Q143" s="55"/>
      <c r="R143" s="55"/>
      <c r="S143" s="55"/>
      <c r="T143" s="55"/>
      <c r="U143" s="55"/>
      <c r="V143" s="55"/>
      <c r="W143" s="55"/>
      <c r="X143" s="55"/>
      <c r="Y143" s="55"/>
      <c r="Z143" s="55"/>
      <c r="AA143" s="55"/>
      <c r="AB143" s="55"/>
    </row>
    <row r="144" spans="1:121" s="52" customFormat="1" ht="50.4">
      <c r="A144" s="55"/>
      <c r="B144" s="513"/>
      <c r="C144" s="513"/>
      <c r="D144" s="83"/>
      <c r="E144" s="83"/>
      <c r="F144" s="83"/>
      <c r="G144" s="83"/>
      <c r="H144" s="83"/>
      <c r="I144" s="437" t="s">
        <v>514</v>
      </c>
      <c r="J144" s="437" t="s">
        <v>513</v>
      </c>
      <c r="K144" s="83"/>
      <c r="L144" s="55"/>
      <c r="M144" s="77"/>
      <c r="N144" s="55"/>
      <c r="O144" s="55"/>
      <c r="P144" s="55"/>
      <c r="Q144" s="55"/>
      <c r="R144" s="55"/>
      <c r="S144" s="55"/>
      <c r="T144" s="55"/>
      <c r="U144" s="55"/>
      <c r="V144" s="55"/>
      <c r="W144" s="55"/>
      <c r="X144" s="55"/>
      <c r="Y144" s="55"/>
      <c r="Z144" s="55"/>
      <c r="AA144" s="55"/>
      <c r="AB144" s="55"/>
    </row>
    <row r="145" spans="1:121" s="52" customFormat="1">
      <c r="A145" s="55"/>
      <c r="B145" s="440" t="s">
        <v>130</v>
      </c>
      <c r="C145" s="371"/>
      <c r="D145" s="83"/>
      <c r="E145" s="83"/>
      <c r="F145" s="83"/>
      <c r="G145" s="83"/>
      <c r="H145" s="83"/>
      <c r="I145" s="439"/>
      <c r="J145" s="439"/>
      <c r="K145" s="83"/>
      <c r="L145" s="55"/>
      <c r="M145" s="77"/>
      <c r="N145" s="55"/>
      <c r="O145" s="55"/>
      <c r="P145" s="55"/>
      <c r="Q145" s="55"/>
      <c r="R145" s="55"/>
      <c r="S145" s="55"/>
      <c r="T145" s="55"/>
      <c r="U145" s="55"/>
      <c r="V145" s="55"/>
      <c r="W145" s="55"/>
      <c r="X145" s="55"/>
      <c r="Y145" s="55"/>
      <c r="Z145" s="55"/>
      <c r="AA145" s="55"/>
      <c r="AB145" s="55"/>
    </row>
    <row r="146" spans="1:121" s="52" customFormat="1">
      <c r="A146" s="55"/>
      <c r="B146" s="172" t="s">
        <v>140</v>
      </c>
      <c r="C146" s="119" t="s">
        <v>104</v>
      </c>
      <c r="D146" s="93" t="s">
        <v>353</v>
      </c>
      <c r="E146" s="92" t="s">
        <v>8</v>
      </c>
      <c r="F146" s="92" t="s">
        <v>50</v>
      </c>
      <c r="G146" s="92"/>
      <c r="H146" s="92"/>
      <c r="I146" s="443" t="str">
        <f>IF(AND(ISNUMBER(Fmanure_slurry), ISNUMBER(Qai_prescr)),Fmanure_slurry* Qai_prescr*I132,"??")</f>
        <v>??</v>
      </c>
      <c r="J146" s="443" t="str">
        <f>IF(AND(ISNUMBER(Fmanure_slurry), ISNUMBER(Qai_prescr)),Fmanure_slurry* Qai_prescr*J132,"??")</f>
        <v>??</v>
      </c>
      <c r="K146" s="83"/>
      <c r="L146" s="55"/>
      <c r="M146" s="55"/>
      <c r="N146" s="55"/>
      <c r="O146" s="55"/>
      <c r="P146" s="55"/>
      <c r="Q146" s="55"/>
      <c r="R146" s="55"/>
      <c r="S146" s="55"/>
      <c r="T146" s="55"/>
      <c r="U146" s="55"/>
      <c r="V146" s="55"/>
      <c r="W146" s="55"/>
      <c r="X146" s="55"/>
      <c r="Y146" s="55"/>
      <c r="Z146" s="55"/>
      <c r="AA146" s="55"/>
      <c r="AB146" s="55"/>
    </row>
    <row r="147" spans="1:121" s="52" customFormat="1">
      <c r="A147" s="55"/>
      <c r="B147" s="172" t="s">
        <v>79</v>
      </c>
      <c r="C147" s="119" t="s">
        <v>105</v>
      </c>
      <c r="D147" s="93" t="s">
        <v>354</v>
      </c>
      <c r="E147" s="92" t="s">
        <v>8</v>
      </c>
      <c r="F147" s="92" t="s">
        <v>50</v>
      </c>
      <c r="G147" s="92"/>
      <c r="H147" s="92"/>
      <c r="I147" s="442" t="str">
        <f>IF(AND(ISNUMBER(Fwastewater),ISNUMBER(Qai_prescr)), Fwastewater*Qai_prescr*I132,"??")</f>
        <v>??</v>
      </c>
      <c r="J147" s="442" t="str">
        <f>IF(AND(ISNUMBER(Fwastewater),ISNUMBER(Qai_prescr)), Fwastewater*Qai_prescr*J132,"??")</f>
        <v>??</v>
      </c>
      <c r="K147" s="83"/>
      <c r="L147" s="55"/>
      <c r="M147" s="55"/>
      <c r="N147" s="55"/>
      <c r="O147" s="55"/>
      <c r="P147" s="55"/>
      <c r="Q147" s="55"/>
      <c r="R147" s="55"/>
      <c r="S147" s="55"/>
      <c r="T147" s="55"/>
      <c r="U147" s="55"/>
      <c r="V147" s="55"/>
      <c r="W147" s="55"/>
      <c r="X147" s="55"/>
      <c r="Y147" s="55"/>
      <c r="Z147" s="55"/>
      <c r="AA147" s="55"/>
      <c r="AB147" s="55"/>
    </row>
    <row r="148" spans="1:121" s="52" customFormat="1">
      <c r="A148" s="55"/>
      <c r="B148" s="120"/>
      <c r="C148" s="120"/>
      <c r="D148" s="93"/>
      <c r="E148" s="83"/>
      <c r="F148" s="106"/>
      <c r="G148" s="106"/>
      <c r="H148" s="106"/>
      <c r="I148" s="444"/>
      <c r="J148" s="101"/>
      <c r="K148" s="83"/>
      <c r="L148" s="55"/>
      <c r="M148" s="55"/>
      <c r="N148" s="55"/>
      <c r="O148" s="55"/>
      <c r="P148" s="55"/>
      <c r="Q148" s="55"/>
      <c r="R148" s="55"/>
      <c r="S148" s="55"/>
      <c r="T148" s="55"/>
      <c r="U148" s="55"/>
      <c r="V148" s="55"/>
      <c r="W148" s="55"/>
      <c r="X148" s="55"/>
      <c r="Y148" s="55"/>
      <c r="Z148" s="55"/>
      <c r="AA148" s="55"/>
      <c r="AB148" s="55"/>
    </row>
    <row r="149" spans="1:121" s="52" customFormat="1" ht="37.799999999999997">
      <c r="A149" s="55"/>
      <c r="B149" s="99" t="s">
        <v>143</v>
      </c>
      <c r="C149" s="83" t="s">
        <v>145</v>
      </c>
      <c r="D149" s="123" t="s">
        <v>146</v>
      </c>
      <c r="E149" s="92" t="s">
        <v>8</v>
      </c>
      <c r="F149" s="92" t="s">
        <v>50</v>
      </c>
      <c r="G149" s="92"/>
      <c r="H149" s="92"/>
      <c r="I149" s="442" t="str">
        <f>IF(AND(ISNUMBER(I146),ISNUMBER(Napp_manure_gr)),I146*Napp_manure_gr,"??")</f>
        <v>??</v>
      </c>
      <c r="J149" s="442" t="str">
        <f>IF(AND(ISNUMBER(J146),ISNUMBER(Napp_manure_gr)),J146*Napp_manure_gr,"??")</f>
        <v>??</v>
      </c>
      <c r="K149" s="83"/>
      <c r="L149" s="55"/>
      <c r="M149" s="55"/>
      <c r="N149" s="55"/>
      <c r="O149" s="55"/>
      <c r="P149" s="55"/>
      <c r="Q149" s="55"/>
      <c r="R149" s="55"/>
      <c r="S149" s="55"/>
      <c r="T149" s="55"/>
      <c r="U149" s="55"/>
      <c r="V149" s="55"/>
      <c r="W149" s="55"/>
      <c r="X149" s="55"/>
      <c r="Y149" s="55"/>
      <c r="Z149" s="55"/>
      <c r="AA149" s="55"/>
      <c r="AB149" s="55"/>
    </row>
    <row r="150" spans="1:121" s="52" customFormat="1">
      <c r="A150" s="55"/>
      <c r="B150" s="124"/>
      <c r="C150" s="83"/>
      <c r="D150" s="84"/>
      <c r="E150" s="92"/>
      <c r="F150" s="92"/>
      <c r="G150" s="92"/>
      <c r="H150" s="92"/>
      <c r="I150" s="444"/>
      <c r="J150" s="101"/>
      <c r="K150" s="83"/>
      <c r="L150" s="55"/>
      <c r="M150" s="55"/>
      <c r="N150" s="55"/>
      <c r="O150" s="55"/>
      <c r="P150" s="55"/>
      <c r="Q150" s="55"/>
      <c r="R150" s="55"/>
      <c r="S150" s="55"/>
      <c r="T150" s="55"/>
      <c r="U150" s="55"/>
      <c r="V150" s="55"/>
      <c r="W150" s="55"/>
      <c r="X150" s="55"/>
      <c r="Y150" s="55"/>
      <c r="Z150" s="55"/>
      <c r="AA150" s="55"/>
      <c r="AB150" s="55"/>
    </row>
    <row r="151" spans="1:121" s="52" customFormat="1" ht="37.799999999999997">
      <c r="A151" s="55"/>
      <c r="B151" s="99" t="s">
        <v>147</v>
      </c>
      <c r="C151" s="83" t="s">
        <v>148</v>
      </c>
      <c r="D151" s="123" t="s">
        <v>150</v>
      </c>
      <c r="E151" s="92" t="s">
        <v>8</v>
      </c>
      <c r="F151" s="92" t="s">
        <v>50</v>
      </c>
      <c r="G151" s="92"/>
      <c r="H151" s="92"/>
      <c r="I151" s="442" t="str">
        <f>IF(AND(ISNUMBER(I146),ISNUMBER(Napp_manure_ar)),I146*Napp_manure_ar,"??")</f>
        <v>??</v>
      </c>
      <c r="J151" s="442" t="str">
        <f>IF(AND(ISNUMBER(J146),ISNUMBER(Napp_manure_ar)),J146*Napp_manure_ar,"??")</f>
        <v>??</v>
      </c>
      <c r="K151" s="83"/>
      <c r="L151" s="55"/>
      <c r="M151" s="55"/>
      <c r="N151" s="55"/>
      <c r="O151" s="55"/>
      <c r="P151" s="55"/>
      <c r="Q151" s="55"/>
      <c r="R151" s="55"/>
      <c r="S151" s="55"/>
      <c r="T151" s="55"/>
      <c r="U151" s="55"/>
      <c r="V151" s="55"/>
      <c r="W151" s="55"/>
      <c r="X151" s="55"/>
      <c r="Y151" s="55"/>
      <c r="Z151" s="55"/>
      <c r="AA151" s="55"/>
      <c r="AB151" s="55"/>
    </row>
    <row r="152" spans="1:121" s="52" customFormat="1">
      <c r="A152" s="55"/>
      <c r="B152" s="96"/>
      <c r="C152" s="83"/>
      <c r="D152" s="96"/>
      <c r="E152" s="92"/>
      <c r="F152" s="92"/>
      <c r="G152" s="92"/>
      <c r="H152" s="92"/>
      <c r="I152" s="121"/>
      <c r="J152" s="313"/>
      <c r="K152" s="83"/>
      <c r="L152" s="55"/>
      <c r="M152" s="55"/>
      <c r="N152" s="55"/>
      <c r="O152" s="55"/>
      <c r="P152" s="55"/>
      <c r="Q152" s="55"/>
      <c r="R152" s="55"/>
      <c r="S152" s="55"/>
      <c r="T152" s="55"/>
      <c r="U152" s="55"/>
      <c r="V152" s="55"/>
      <c r="W152" s="55"/>
      <c r="X152" s="55"/>
      <c r="Y152" s="55"/>
      <c r="Z152" s="55"/>
      <c r="AA152" s="55"/>
      <c r="AB152" s="55"/>
    </row>
    <row r="153" spans="1:121" s="52" customFormat="1" ht="37.799999999999997">
      <c r="A153" s="55"/>
      <c r="B153" s="93" t="s">
        <v>113</v>
      </c>
      <c r="C153" s="83" t="s">
        <v>108</v>
      </c>
      <c r="D153" s="100" t="s">
        <v>126</v>
      </c>
      <c r="E153" s="92" t="s">
        <v>8</v>
      </c>
      <c r="F153" s="92" t="s">
        <v>50</v>
      </c>
      <c r="G153" s="92"/>
      <c r="H153" s="92"/>
      <c r="I153" s="143">
        <f>I130*I128*Tgr_int</f>
        <v>1796.17</v>
      </c>
      <c r="J153" s="143">
        <f>J130*J128*Tgr_int</f>
        <v>758.74800000000005</v>
      </c>
      <c r="K153" s="83"/>
      <c r="L153" s="55"/>
      <c r="M153" s="55"/>
      <c r="N153" s="55"/>
      <c r="O153" s="55"/>
      <c r="P153" s="55"/>
      <c r="Q153" s="55"/>
      <c r="R153" s="55"/>
      <c r="S153" s="55"/>
      <c r="T153" s="55"/>
      <c r="U153" s="55"/>
      <c r="V153" s="55"/>
      <c r="W153" s="55"/>
      <c r="X153" s="55"/>
      <c r="Y153" s="55"/>
      <c r="Z153" s="55"/>
      <c r="AA153" s="55"/>
      <c r="AB153" s="55"/>
    </row>
    <row r="154" spans="1:121" s="52" customFormat="1" ht="3" customHeight="1">
      <c r="A154" s="55"/>
      <c r="B154" s="96"/>
      <c r="C154" s="83"/>
      <c r="D154" s="100"/>
      <c r="E154" s="92"/>
      <c r="F154" s="92"/>
      <c r="G154" s="92"/>
      <c r="H154" s="92"/>
      <c r="I154" s="121"/>
      <c r="J154" s="121"/>
      <c r="K154" s="83"/>
      <c r="L154" s="55"/>
      <c r="M154" s="55"/>
      <c r="N154" s="55"/>
      <c r="O154" s="55"/>
      <c r="P154" s="55"/>
      <c r="Q154" s="55"/>
      <c r="R154" s="55"/>
      <c r="S154" s="55"/>
      <c r="T154" s="55"/>
      <c r="U154" s="55"/>
      <c r="V154" s="55"/>
      <c r="W154" s="55"/>
      <c r="X154" s="55"/>
      <c r="Y154" s="55"/>
      <c r="Z154" s="55"/>
      <c r="AA154" s="55"/>
      <c r="AB154" s="55"/>
    </row>
    <row r="155" spans="1:121" s="52" customFormat="1" ht="37.799999999999997">
      <c r="A155" s="55"/>
      <c r="B155" s="93" t="s">
        <v>114</v>
      </c>
      <c r="C155" s="83" t="s">
        <v>109</v>
      </c>
      <c r="D155" s="359" t="s">
        <v>587</v>
      </c>
      <c r="E155" s="92" t="s">
        <v>8</v>
      </c>
      <c r="F155" s="92" t="s">
        <v>50</v>
      </c>
      <c r="G155" s="92"/>
      <c r="H155" s="125"/>
      <c r="I155" s="143" t="str">
        <f>IFERROR(I130*I128*Tbioc_int,"??")</f>
        <v>??</v>
      </c>
      <c r="J155" s="143" t="str">
        <f>IFERROR(J130*J128*Tbioc_int,"??")</f>
        <v>??</v>
      </c>
      <c r="K155" s="83"/>
      <c r="L155" s="55"/>
      <c r="M155" s="55"/>
      <c r="N155" s="55"/>
      <c r="O155" s="55"/>
      <c r="P155" s="55"/>
      <c r="Q155" s="55"/>
      <c r="R155" s="55"/>
      <c r="S155" s="55"/>
      <c r="T155" s="55"/>
      <c r="U155" s="55"/>
      <c r="V155" s="55"/>
      <c r="W155" s="55"/>
      <c r="X155" s="55"/>
      <c r="Y155" s="55"/>
      <c r="Z155" s="55"/>
      <c r="AA155" s="55"/>
      <c r="AB155" s="55"/>
    </row>
    <row r="156" spans="1:121" s="52" customFormat="1">
      <c r="A156" s="55"/>
      <c r="B156" s="96"/>
      <c r="C156" s="96"/>
      <c r="D156" s="96"/>
      <c r="E156" s="96"/>
      <c r="F156" s="83"/>
      <c r="G156" s="83"/>
      <c r="H156" s="83"/>
      <c r="I156" s="126"/>
      <c r="J156" s="127"/>
      <c r="K156" s="83"/>
      <c r="L156" s="55"/>
      <c r="M156" s="55"/>
      <c r="N156" s="55"/>
      <c r="O156" s="55"/>
      <c r="P156" s="55"/>
      <c r="Q156" s="55"/>
      <c r="R156" s="55"/>
      <c r="S156" s="55"/>
      <c r="T156" s="55"/>
      <c r="U156" s="55"/>
      <c r="V156" s="55"/>
      <c r="W156" s="55"/>
      <c r="X156" s="55"/>
      <c r="Y156" s="55"/>
      <c r="Z156" s="55"/>
      <c r="AA156" s="55"/>
      <c r="AB156" s="55"/>
    </row>
    <row r="157" spans="1:121" s="52" customFormat="1">
      <c r="A157" s="55"/>
      <c r="B157" s="96"/>
      <c r="C157" s="96"/>
      <c r="D157" s="83"/>
      <c r="E157" s="83"/>
      <c r="F157" s="83"/>
      <c r="G157" s="83"/>
      <c r="H157" s="83"/>
      <c r="I157" s="130"/>
      <c r="J157" s="104"/>
      <c r="K157" s="104"/>
      <c r="L157" s="293"/>
      <c r="M157" s="294"/>
      <c r="N157" s="293"/>
      <c r="O157" s="293"/>
      <c r="P157" s="293"/>
      <c r="Q157" s="293"/>
      <c r="R157" s="293"/>
      <c r="S157" s="293"/>
      <c r="T157" s="293"/>
      <c r="U157" s="293"/>
      <c r="V157" s="293"/>
      <c r="W157" s="293"/>
      <c r="X157" s="293"/>
      <c r="Y157" s="293"/>
      <c r="Z157" s="293"/>
      <c r="AA157" s="293"/>
      <c r="AB157" s="293"/>
    </row>
    <row r="158" spans="1:121" s="52" customFormat="1" ht="16.2">
      <c r="A158" s="55"/>
      <c r="B158" s="80" t="s">
        <v>1</v>
      </c>
      <c r="C158" s="80"/>
      <c r="D158" s="81"/>
      <c r="E158" s="81"/>
      <c r="F158" s="81"/>
      <c r="G158" s="81"/>
      <c r="H158" s="81"/>
      <c r="I158" s="81"/>
      <c r="J158" s="81"/>
      <c r="K158" s="81"/>
      <c r="L158" s="292"/>
      <c r="M158" s="292"/>
      <c r="N158" s="292"/>
      <c r="O158" s="292"/>
      <c r="P158" s="292"/>
      <c r="Q158" s="292"/>
      <c r="R158" s="292"/>
      <c r="S158" s="292"/>
      <c r="T158" s="292"/>
      <c r="U158" s="292"/>
      <c r="V158" s="292"/>
      <c r="W158" s="292"/>
      <c r="X158" s="292"/>
      <c r="Y158" s="292"/>
      <c r="Z158" s="292"/>
      <c r="AA158" s="292"/>
      <c r="AB158" s="292"/>
      <c r="DP158" s="58"/>
      <c r="DQ158" s="58"/>
    </row>
    <row r="159" spans="1:121" s="52" customFormat="1">
      <c r="A159" s="55"/>
      <c r="B159" s="83"/>
      <c r="C159" s="83"/>
      <c r="D159" s="83"/>
      <c r="E159" s="83"/>
      <c r="F159" s="83"/>
      <c r="G159" s="83"/>
      <c r="H159" s="83"/>
      <c r="I159" s="83"/>
      <c r="J159" s="83"/>
      <c r="K159" s="83"/>
      <c r="L159" s="57"/>
      <c r="M159" s="77"/>
      <c r="N159" s="55"/>
      <c r="O159" s="55"/>
      <c r="P159" s="55"/>
      <c r="Q159" s="55"/>
      <c r="R159" s="55"/>
      <c r="S159" s="55"/>
      <c r="T159" s="55"/>
      <c r="U159" s="55"/>
      <c r="V159" s="55"/>
      <c r="W159" s="55"/>
      <c r="X159" s="55"/>
      <c r="Y159" s="55"/>
      <c r="Z159" s="55"/>
      <c r="AA159" s="55"/>
      <c r="AB159" s="55"/>
      <c r="DP159" s="58"/>
      <c r="DQ159" s="58"/>
    </row>
    <row r="160" spans="1:121" s="52" customFormat="1" ht="13.8">
      <c r="A160" s="55"/>
      <c r="B160" s="87" t="s">
        <v>2</v>
      </c>
      <c r="C160" s="88" t="s">
        <v>4</v>
      </c>
      <c r="D160" s="88" t="s">
        <v>9</v>
      </c>
      <c r="E160" s="89" t="s">
        <v>11</v>
      </c>
      <c r="F160" s="89" t="s">
        <v>3</v>
      </c>
      <c r="G160" s="89"/>
      <c r="H160" s="89"/>
      <c r="I160" s="89" t="s">
        <v>7</v>
      </c>
      <c r="J160" s="83"/>
      <c r="K160" s="83"/>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DP160" s="58"/>
      <c r="DQ160" s="58"/>
    </row>
    <row r="161" spans="1:121" s="52" customFormat="1">
      <c r="A161" s="55"/>
      <c r="B161" s="87"/>
      <c r="C161" s="88"/>
      <c r="D161" s="88"/>
      <c r="E161" s="89"/>
      <c r="F161" s="89"/>
      <c r="G161" s="89"/>
      <c r="H161" s="89"/>
      <c r="I161" s="89"/>
      <c r="J161" s="83"/>
      <c r="K161" s="83"/>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DP161" s="58"/>
      <c r="DQ161" s="58"/>
    </row>
    <row r="162" spans="1:121" s="52" customFormat="1" ht="17.399999999999999">
      <c r="A162" s="55"/>
      <c r="B162" s="133" t="s">
        <v>93</v>
      </c>
      <c r="C162" s="134"/>
      <c r="D162" s="358"/>
      <c r="E162" s="92"/>
      <c r="F162" s="92"/>
      <c r="G162" s="92"/>
      <c r="H162" s="92"/>
      <c r="I162" s="83"/>
      <c r="J162" s="83"/>
      <c r="K162" s="83"/>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row>
    <row r="163" spans="1:121" s="52" customFormat="1" ht="50.4">
      <c r="A163" s="55"/>
      <c r="B163" s="363" t="s">
        <v>441</v>
      </c>
      <c r="C163" s="84" t="s">
        <v>415</v>
      </c>
      <c r="D163" s="358" t="s">
        <v>525</v>
      </c>
      <c r="E163" s="92" t="s">
        <v>8</v>
      </c>
      <c r="F163" s="101" t="s">
        <v>115</v>
      </c>
      <c r="G163" s="101"/>
      <c r="H163" s="101"/>
      <c r="I163" s="442" t="str">
        <f>IF(AND(ISNUMBER(Qai_arab),ISNUMBER(I155)),100*Qai_arab*QN_arable/(I155*Nlapp_arab*DEPTHarable*RHOsoilwet),"??")</f>
        <v>??</v>
      </c>
      <c r="J163" s="442" t="str">
        <f>IF(AND(ISNUMBER(Qai_arab_grazing_s),ISNUMBER(J155)),100*Qai_arab_grazing_s*QN_arable/(J155*Nlapp_arab*DEPTHarable*RHOsoilwet),"??")</f>
        <v>??</v>
      </c>
      <c r="K163" s="83"/>
      <c r="L163" s="55"/>
      <c r="M163" s="55"/>
      <c r="N163" s="55"/>
      <c r="O163" s="55"/>
      <c r="P163" s="55"/>
      <c r="Q163" s="55"/>
      <c r="R163" s="55"/>
      <c r="S163" s="55"/>
      <c r="T163" s="55"/>
      <c r="U163" s="55"/>
      <c r="V163" s="55"/>
      <c r="W163" s="55"/>
      <c r="X163" s="55"/>
      <c r="Y163" s="55"/>
      <c r="Z163" s="55"/>
      <c r="AA163" s="55"/>
      <c r="AB163" s="55"/>
    </row>
    <row r="164" spans="1:121" s="52" customFormat="1" ht="3" customHeight="1">
      <c r="A164" s="55"/>
      <c r="B164" s="100"/>
      <c r="C164" s="83"/>
      <c r="D164" s="96"/>
      <c r="E164" s="92"/>
      <c r="F164" s="101"/>
      <c r="G164" s="101"/>
      <c r="H164" s="101"/>
      <c r="I164" s="148"/>
      <c r="J164" s="148"/>
      <c r="K164" s="83"/>
      <c r="L164" s="55"/>
      <c r="M164" s="55"/>
      <c r="N164" s="55"/>
      <c r="O164" s="55"/>
      <c r="P164" s="55"/>
      <c r="Q164" s="55"/>
      <c r="R164" s="55"/>
      <c r="S164" s="55"/>
      <c r="T164" s="55"/>
      <c r="U164" s="55"/>
      <c r="V164" s="55"/>
      <c r="W164" s="55"/>
      <c r="X164" s="55"/>
      <c r="Y164" s="55"/>
      <c r="Z164" s="55"/>
      <c r="AA164" s="55"/>
      <c r="AB164" s="55"/>
    </row>
    <row r="165" spans="1:121" s="52" customFormat="1" ht="15" customHeight="1">
      <c r="A165" s="55"/>
      <c r="B165" s="364" t="s">
        <v>442</v>
      </c>
      <c r="C165" s="83"/>
      <c r="D165" s="96"/>
      <c r="E165" s="92"/>
      <c r="F165" s="101"/>
      <c r="G165" s="101"/>
      <c r="H165" s="101"/>
      <c r="I165" s="150"/>
      <c r="J165" s="150"/>
      <c r="K165" s="83"/>
      <c r="L165" s="55"/>
      <c r="M165" s="55"/>
      <c r="N165" s="55"/>
      <c r="O165" s="55"/>
      <c r="P165" s="55"/>
      <c r="Q165" s="55"/>
      <c r="R165" s="55"/>
      <c r="S165" s="55"/>
      <c r="T165" s="55"/>
      <c r="U165" s="55"/>
      <c r="V165" s="55"/>
      <c r="W165" s="55"/>
      <c r="X165" s="55"/>
      <c r="Y165" s="55"/>
      <c r="Z165" s="55"/>
      <c r="AA165" s="55"/>
      <c r="AB165" s="55"/>
    </row>
    <row r="166" spans="1:121" s="52" customFormat="1" ht="50.4">
      <c r="A166" s="55"/>
      <c r="B166" s="363" t="s">
        <v>443</v>
      </c>
      <c r="C166" s="83" t="s">
        <v>428</v>
      </c>
      <c r="D166" s="359" t="s">
        <v>526</v>
      </c>
      <c r="E166" s="92" t="s">
        <v>8</v>
      </c>
      <c r="F166" s="101" t="s">
        <v>115</v>
      </c>
      <c r="G166" s="101"/>
      <c r="H166" s="101"/>
      <c r="I166" s="442" t="str">
        <f>IF(ISNUMBER(k_ar),IF(AND(k_ar&gt;0,ISNUMBER(I163)),I163*(1-POWER(EXP(-k_ar*Tar_int_10),Nlapp_arab_10))/(1-EXP(-k_ar*Tar_int_10)),"??"),"??")</f>
        <v>??</v>
      </c>
      <c r="J166" s="442" t="str">
        <f>IF(ISNUMBER(k_ar),IF(AND(k_ar&gt;0,ISNUMBER(J163)),J163*(1-POWER(EXP(-k_ar*Tar_int_10),Nlapp_arab_10))/(1-EXP(-k_ar*Tar_int_10)),"??"),"??")</f>
        <v>??</v>
      </c>
      <c r="K166" s="83"/>
      <c r="L166" s="55"/>
      <c r="M166" s="55"/>
      <c r="N166" s="55"/>
      <c r="O166" s="55"/>
      <c r="P166" s="55"/>
      <c r="Q166" s="55"/>
      <c r="R166" s="55"/>
      <c r="S166" s="55"/>
      <c r="T166" s="55"/>
      <c r="U166" s="55"/>
      <c r="V166" s="55"/>
      <c r="W166" s="55"/>
      <c r="X166" s="55"/>
      <c r="Y166" s="55"/>
      <c r="Z166" s="55"/>
      <c r="AA166" s="55"/>
      <c r="AB166" s="55"/>
    </row>
    <row r="167" spans="1:121" s="52" customFormat="1" ht="3" customHeight="1">
      <c r="A167" s="55"/>
      <c r="B167" s="113"/>
      <c r="C167" s="113"/>
      <c r="D167" s="136"/>
      <c r="E167" s="113"/>
      <c r="F167" s="113"/>
      <c r="G167" s="113"/>
      <c r="H167" s="113"/>
      <c r="I167" s="445"/>
      <c r="J167" s="445"/>
      <c r="K167" s="83"/>
      <c r="L167" s="55"/>
      <c r="M167" s="55"/>
      <c r="N167" s="55"/>
      <c r="O167" s="55"/>
      <c r="P167" s="55"/>
      <c r="Q167" s="55"/>
      <c r="R167" s="55"/>
      <c r="S167" s="55"/>
      <c r="T167" s="55"/>
      <c r="U167" s="55"/>
      <c r="V167" s="55"/>
      <c r="W167" s="55"/>
      <c r="X167" s="55"/>
      <c r="Y167" s="55"/>
      <c r="Z167" s="55"/>
      <c r="AA167" s="55"/>
      <c r="AB167" s="55"/>
      <c r="DP167" s="58"/>
      <c r="DQ167" s="58"/>
    </row>
    <row r="168" spans="1:121" s="52" customFormat="1" ht="40.200000000000003">
      <c r="A168" s="55"/>
      <c r="B168" s="305" t="s">
        <v>426</v>
      </c>
      <c r="C168" s="106" t="s">
        <v>515</v>
      </c>
      <c r="D168" s="359" t="s">
        <v>527</v>
      </c>
      <c r="E168" s="92" t="s">
        <v>8</v>
      </c>
      <c r="F168" s="101" t="s">
        <v>115</v>
      </c>
      <c r="G168" s="101"/>
      <c r="H168" s="113"/>
      <c r="I168" s="442" t="str">
        <f>IF(ISNUMBER(I166),+I166*(1-EXP(-k_ar*30))/(k_ar*30),"??")</f>
        <v>??</v>
      </c>
      <c r="J168" s="442" t="str">
        <f>IF(ISNUMBER(J166),+J166*(1-EXP(-k_ar*30))/(k_ar*30),"??")</f>
        <v>??</v>
      </c>
      <c r="K168" s="83"/>
      <c r="L168" s="55"/>
      <c r="M168" s="55"/>
      <c r="N168" s="55"/>
      <c r="O168" s="55"/>
      <c r="P168" s="55"/>
      <c r="Q168" s="55"/>
      <c r="R168" s="55"/>
      <c r="S168" s="55"/>
      <c r="T168" s="55"/>
      <c r="U168" s="55"/>
      <c r="V168" s="55"/>
      <c r="W168" s="55"/>
      <c r="X168" s="55"/>
      <c r="Y168" s="55"/>
      <c r="Z168" s="55"/>
      <c r="AA168" s="55"/>
      <c r="AB168" s="55"/>
      <c r="DP168" s="58"/>
      <c r="DQ168" s="58"/>
    </row>
    <row r="169" spans="1:121" s="52" customFormat="1" ht="3" customHeight="1">
      <c r="A169" s="55"/>
      <c r="B169" s="99"/>
      <c r="C169" s="106"/>
      <c r="D169" s="100"/>
      <c r="E169" s="92"/>
      <c r="F169" s="101"/>
      <c r="G169" s="101"/>
      <c r="H169" s="113"/>
      <c r="I169" s="446"/>
      <c r="J169" s="446"/>
      <c r="K169" s="83"/>
      <c r="L169" s="55"/>
      <c r="M169" s="55"/>
      <c r="N169" s="55"/>
      <c r="O169" s="55"/>
      <c r="P169" s="55"/>
      <c r="Q169" s="55"/>
      <c r="R169" s="55"/>
      <c r="S169" s="55"/>
      <c r="T169" s="55"/>
      <c r="U169" s="55"/>
      <c r="V169" s="55"/>
      <c r="W169" s="55"/>
      <c r="X169" s="55"/>
      <c r="Y169" s="55"/>
      <c r="Z169" s="55"/>
      <c r="AA169" s="55"/>
      <c r="AB169" s="55"/>
      <c r="DP169" s="58"/>
      <c r="DQ169" s="58"/>
    </row>
    <row r="170" spans="1:121" s="52" customFormat="1" ht="40.200000000000003">
      <c r="A170" s="55"/>
      <c r="B170" s="305" t="s">
        <v>427</v>
      </c>
      <c r="C170" s="106" t="s">
        <v>516</v>
      </c>
      <c r="D170" s="359" t="s">
        <v>528</v>
      </c>
      <c r="E170" s="92" t="s">
        <v>8</v>
      </c>
      <c r="F170" s="101" t="s">
        <v>115</v>
      </c>
      <c r="G170" s="101"/>
      <c r="H170" s="113"/>
      <c r="I170" s="442" t="str">
        <f>IF(ISNUMBER(I166),+I166*(1-EXP(-k_ar*180))/(k_ar*180),"??")</f>
        <v>??</v>
      </c>
      <c r="J170" s="442" t="str">
        <f>IF(ISNUMBER(J166),+J166*(1-EXP(-k_ar*180))/(k_ar*180),"??")</f>
        <v>??</v>
      </c>
      <c r="K170" s="83"/>
      <c r="L170" s="55"/>
      <c r="M170" s="55"/>
      <c r="N170" s="55"/>
      <c r="O170" s="55"/>
      <c r="P170" s="55"/>
      <c r="Q170" s="55"/>
      <c r="R170" s="55"/>
      <c r="S170" s="55"/>
      <c r="T170" s="55"/>
      <c r="U170" s="55"/>
      <c r="V170" s="55"/>
      <c r="W170" s="55"/>
      <c r="X170" s="55"/>
      <c r="Y170" s="55"/>
      <c r="Z170" s="55"/>
      <c r="AA170" s="55"/>
      <c r="AB170" s="55"/>
      <c r="DP170" s="58"/>
      <c r="DQ170" s="58"/>
    </row>
    <row r="171" spans="1:121" s="52" customFormat="1">
      <c r="A171" s="55"/>
      <c r="B171" s="99"/>
      <c r="C171" s="106"/>
      <c r="D171" s="100"/>
      <c r="E171" s="92"/>
      <c r="F171" s="101"/>
      <c r="G171" s="101"/>
      <c r="H171" s="113"/>
      <c r="I171" s="446"/>
      <c r="J171" s="446"/>
      <c r="K171" s="83"/>
      <c r="L171" s="55"/>
      <c r="M171" s="55"/>
      <c r="N171" s="55"/>
      <c r="O171" s="55"/>
      <c r="P171" s="55"/>
      <c r="Q171" s="55"/>
      <c r="R171" s="55"/>
      <c r="S171" s="55"/>
      <c r="T171" s="55"/>
      <c r="U171" s="55"/>
      <c r="V171" s="55"/>
      <c r="W171" s="55"/>
      <c r="X171" s="55"/>
      <c r="Y171" s="55"/>
      <c r="Z171" s="55"/>
      <c r="AA171" s="55"/>
      <c r="AB171" s="55"/>
      <c r="DP171" s="58"/>
      <c r="DQ171" s="58"/>
    </row>
    <row r="172" spans="1:121" s="52" customFormat="1" ht="17.399999999999999">
      <c r="A172" s="55"/>
      <c r="B172" s="175" t="s">
        <v>160</v>
      </c>
      <c r="C172" s="160"/>
      <c r="D172" s="96"/>
      <c r="E172" s="92"/>
      <c r="F172" s="101"/>
      <c r="G172" s="101"/>
      <c r="H172" s="105"/>
      <c r="I172" s="83"/>
      <c r="J172" s="83"/>
      <c r="K172" s="83"/>
      <c r="L172" s="55"/>
      <c r="M172" s="55"/>
      <c r="N172" s="55"/>
      <c r="O172" s="55"/>
      <c r="P172" s="55"/>
      <c r="Q172" s="55"/>
      <c r="R172" s="55"/>
      <c r="S172" s="55"/>
      <c r="T172" s="55"/>
      <c r="U172" s="55"/>
      <c r="V172" s="55"/>
      <c r="W172" s="55"/>
      <c r="X172" s="55"/>
      <c r="Y172" s="55"/>
      <c r="Z172" s="55"/>
      <c r="AA172" s="55"/>
      <c r="AB172" s="55"/>
    </row>
    <row r="173" spans="1:121" s="52" customFormat="1" ht="40.200000000000003">
      <c r="A173" s="55"/>
      <c r="B173" s="99" t="s">
        <v>175</v>
      </c>
      <c r="C173" s="86" t="s">
        <v>429</v>
      </c>
      <c r="D173" s="358" t="s">
        <v>529</v>
      </c>
      <c r="E173" s="92" t="s">
        <v>8</v>
      </c>
      <c r="F173" s="338" t="s">
        <v>401</v>
      </c>
      <c r="G173" s="101"/>
      <c r="H173" s="105"/>
      <c r="I173" s="442" t="str">
        <f>IF(AND(ISNUMBER(I170),Ksoil_water&gt;0),I170*RHOsoilwet/Ksoil_water,"??")</f>
        <v>??</v>
      </c>
      <c r="J173" s="442" t="str">
        <f>IF(AND(ISNUMBER(J170),Ksoil_water&gt;0),J170*RHOsoilwet/Ksoil_water,"??")</f>
        <v>??</v>
      </c>
      <c r="K173" s="83"/>
      <c r="L173" s="55"/>
      <c r="M173" s="55"/>
      <c r="N173" s="55"/>
      <c r="O173" s="55"/>
      <c r="P173" s="55"/>
      <c r="Q173" s="55"/>
      <c r="R173" s="55"/>
      <c r="S173" s="55"/>
      <c r="T173" s="55"/>
      <c r="U173" s="55"/>
      <c r="V173" s="55"/>
      <c r="W173" s="55"/>
      <c r="X173" s="55"/>
      <c r="Y173" s="55"/>
      <c r="Z173" s="55"/>
      <c r="AA173" s="55"/>
      <c r="AB173" s="55"/>
    </row>
    <row r="174" spans="1:121" s="52" customFormat="1" ht="3" customHeight="1">
      <c r="A174" s="55"/>
      <c r="B174" s="96"/>
      <c r="C174" s="86"/>
      <c r="D174" s="358"/>
      <c r="E174" s="92"/>
      <c r="F174" s="101"/>
      <c r="G174" s="101"/>
      <c r="H174" s="105"/>
      <c r="I174" s="118"/>
      <c r="J174" s="118"/>
      <c r="K174" s="83"/>
      <c r="L174" s="55"/>
      <c r="M174" s="55"/>
      <c r="N174" s="55"/>
      <c r="O174" s="55"/>
      <c r="P174" s="55"/>
      <c r="Q174" s="55"/>
      <c r="R174" s="55"/>
      <c r="S174" s="55"/>
      <c r="T174" s="55"/>
      <c r="U174" s="55"/>
      <c r="V174" s="55"/>
      <c r="W174" s="55"/>
      <c r="X174" s="55"/>
      <c r="Y174" s="55"/>
      <c r="Z174" s="55"/>
      <c r="AA174" s="55"/>
      <c r="AB174" s="55"/>
    </row>
    <row r="175" spans="1:121" s="52" customFormat="1" ht="27.6">
      <c r="A175" s="55"/>
      <c r="B175" s="93" t="s">
        <v>177</v>
      </c>
      <c r="C175" s="86" t="s">
        <v>430</v>
      </c>
      <c r="D175" s="361" t="s">
        <v>543</v>
      </c>
      <c r="E175" s="92" t="s">
        <v>8</v>
      </c>
      <c r="F175" s="101" t="s">
        <v>456</v>
      </c>
      <c r="G175" s="101"/>
      <c r="H175" s="105"/>
      <c r="I175" s="442" t="str">
        <f>IF(AND(ISNUMBER(I168),ISNUMBER(Ksoil_water)),I168*RHOsoilwet/(Ksoil_water*DILUTION*1000),"??")</f>
        <v>??</v>
      </c>
      <c r="J175" s="442" t="str">
        <f>IF(AND(ISNUMBER(J168),ISNUMBER(Ksoil_water)),J168*RHOsoilwet/(Ksoil_water*DILUTION*1000),"??")</f>
        <v>??</v>
      </c>
      <c r="K175" s="83"/>
      <c r="L175" s="55"/>
      <c r="M175" s="55"/>
      <c r="N175" s="55"/>
      <c r="O175" s="55"/>
      <c r="P175" s="55"/>
      <c r="Q175" s="55"/>
      <c r="R175" s="55"/>
      <c r="S175" s="55"/>
      <c r="T175" s="55"/>
      <c r="U175" s="55"/>
      <c r="V175" s="55"/>
      <c r="W175" s="55"/>
      <c r="X175" s="55"/>
      <c r="Y175" s="55"/>
      <c r="Z175" s="55"/>
      <c r="AA175" s="55"/>
      <c r="AB175" s="55"/>
    </row>
    <row r="176" spans="1:121" s="52" customFormat="1" ht="3" customHeight="1">
      <c r="A176" s="55"/>
      <c r="B176" s="93"/>
      <c r="C176" s="86"/>
      <c r="D176" s="358"/>
      <c r="E176" s="92"/>
      <c r="F176" s="101"/>
      <c r="G176" s="101"/>
      <c r="H176" s="105"/>
      <c r="I176" s="106"/>
      <c r="J176" s="101"/>
      <c r="K176" s="83"/>
      <c r="L176" s="55"/>
      <c r="M176" s="55"/>
      <c r="N176" s="55"/>
      <c r="O176" s="55"/>
      <c r="P176" s="55"/>
      <c r="Q176" s="55"/>
      <c r="R176" s="55"/>
      <c r="S176" s="55"/>
      <c r="T176" s="55"/>
      <c r="U176" s="55"/>
      <c r="V176" s="55"/>
      <c r="W176" s="55"/>
      <c r="X176" s="55"/>
      <c r="Y176" s="55"/>
      <c r="Z176" s="55"/>
      <c r="AA176" s="55"/>
      <c r="AB176" s="55"/>
    </row>
    <row r="177" spans="1:121" s="52" customFormat="1" ht="27.6">
      <c r="A177" s="55"/>
      <c r="B177" s="99" t="s">
        <v>161</v>
      </c>
      <c r="C177" s="305" t="s">
        <v>173</v>
      </c>
      <c r="D177" s="305" t="s">
        <v>458</v>
      </c>
      <c r="E177" s="174" t="s">
        <v>8</v>
      </c>
      <c r="F177" s="101" t="s">
        <v>115</v>
      </c>
      <c r="G177" s="101"/>
      <c r="H177" s="105"/>
      <c r="I177" s="442" t="str">
        <f>IF(AND(ISNUMBER(I175),ISNUMBER(Ksusp_water)),+I175*Ksusp_water*1000/RHOsusp,"??")</f>
        <v>??</v>
      </c>
      <c r="J177" s="442" t="str">
        <f>IF(AND(ISNUMBER(J175),ISNUMBER(Ksusp_water)),+J175*Ksusp_water*1000/RHOsusp,"??")</f>
        <v>??</v>
      </c>
      <c r="K177" s="83"/>
      <c r="L177" s="55"/>
      <c r="M177" s="55"/>
      <c r="N177" s="55"/>
      <c r="O177" s="55"/>
      <c r="P177" s="55"/>
      <c r="Q177" s="55"/>
      <c r="R177" s="55"/>
      <c r="S177" s="55"/>
      <c r="T177" s="55"/>
      <c r="U177" s="55"/>
      <c r="V177" s="55"/>
      <c r="W177" s="55"/>
      <c r="X177" s="55"/>
      <c r="Y177" s="55"/>
      <c r="Z177" s="55"/>
      <c r="AA177" s="55"/>
      <c r="AB177" s="55"/>
      <c r="AC177" s="55"/>
    </row>
    <row r="178" spans="1:121" s="52" customFormat="1">
      <c r="A178" s="55"/>
      <c r="B178" s="99"/>
      <c r="C178" s="106"/>
      <c r="D178" s="100"/>
      <c r="E178" s="92"/>
      <c r="F178" s="101"/>
      <c r="G178" s="101"/>
      <c r="H178" s="113"/>
      <c r="I178" s="446"/>
      <c r="J178" s="446"/>
      <c r="K178" s="83"/>
      <c r="L178" s="55"/>
      <c r="M178" s="55"/>
      <c r="N178" s="55"/>
      <c r="O178" s="55"/>
      <c r="P178" s="55"/>
      <c r="Q178" s="55"/>
      <c r="R178" s="55"/>
      <c r="S178" s="55"/>
      <c r="T178" s="55"/>
      <c r="U178" s="55"/>
      <c r="V178" s="55"/>
      <c r="W178" s="55"/>
      <c r="X178" s="55"/>
      <c r="Y178" s="55"/>
      <c r="Z178" s="55"/>
      <c r="AA178" s="55"/>
      <c r="AB178" s="55"/>
      <c r="DP178" s="58"/>
      <c r="DQ178" s="58"/>
    </row>
    <row r="179" spans="1:121" s="52" customFormat="1" ht="17.399999999999999">
      <c r="A179" s="55"/>
      <c r="B179" s="133" t="s">
        <v>94</v>
      </c>
      <c r="C179" s="133"/>
      <c r="D179" s="133"/>
      <c r="E179" s="133"/>
      <c r="F179" s="133"/>
      <c r="G179" s="133"/>
      <c r="H179" s="133"/>
      <c r="I179" s="150"/>
      <c r="J179" s="156"/>
      <c r="K179" s="83"/>
      <c r="L179" s="55"/>
      <c r="M179" s="55"/>
      <c r="N179" s="55"/>
      <c r="O179" s="55"/>
      <c r="P179" s="55"/>
      <c r="Q179" s="55"/>
      <c r="R179" s="55"/>
      <c r="S179" s="55"/>
      <c r="T179" s="55"/>
      <c r="U179" s="55"/>
      <c r="V179" s="55"/>
      <c r="W179" s="55"/>
      <c r="X179" s="55"/>
      <c r="Y179" s="55"/>
      <c r="Z179" s="55"/>
      <c r="AA179" s="55"/>
      <c r="AB179" s="55"/>
    </row>
    <row r="180" spans="1:121" s="52" customFormat="1" ht="50.4">
      <c r="A180" s="55"/>
      <c r="B180" s="305" t="s">
        <v>444</v>
      </c>
      <c r="C180" s="83" t="s">
        <v>433</v>
      </c>
      <c r="D180" s="358" t="s">
        <v>531</v>
      </c>
      <c r="E180" s="92" t="s">
        <v>8</v>
      </c>
      <c r="F180" s="101" t="s">
        <v>115</v>
      </c>
      <c r="G180" s="101"/>
      <c r="H180" s="133"/>
      <c r="I180" s="442" t="str">
        <f>IF(AND(ISNUMBER(Qai_grass),ISNUMBER(I153)),100*Qai_grass*QN_grass/(I153*Nlapp_grass*DEPTHgrass*RHOsoilwet),"??")</f>
        <v>??</v>
      </c>
      <c r="J180" s="442" t="str">
        <f>IF(AND(ISNUMBER(Qai_grass_grazing_s),ISNUMBER(J153)),100*Qai_grass_grazing_s*QN_grass/(J153*Nlapp_grass*DEPTHgrass*RHOsoilwet),"??")</f>
        <v>??</v>
      </c>
      <c r="K180" s="83"/>
      <c r="L180" s="55"/>
      <c r="M180" s="55"/>
      <c r="N180" s="55"/>
      <c r="O180" s="55"/>
      <c r="P180" s="55"/>
      <c r="Q180" s="55"/>
      <c r="R180" s="55"/>
      <c r="S180" s="55"/>
      <c r="T180" s="55"/>
      <c r="U180" s="55"/>
      <c r="V180" s="55"/>
      <c r="W180" s="55"/>
      <c r="X180" s="55"/>
      <c r="Y180" s="55"/>
      <c r="Z180" s="55"/>
      <c r="AA180" s="55"/>
      <c r="AB180" s="55"/>
    </row>
    <row r="181" spans="1:121" s="52" customFormat="1" ht="3" customHeight="1">
      <c r="A181" s="55"/>
      <c r="B181" s="96"/>
      <c r="C181" s="159"/>
      <c r="D181" s="358"/>
      <c r="E181" s="96"/>
      <c r="F181" s="83"/>
      <c r="G181" s="83"/>
      <c r="H181" s="83"/>
      <c r="I181" s="150"/>
      <c r="J181" s="156"/>
      <c r="K181" s="83"/>
      <c r="L181" s="55"/>
      <c r="M181" s="55"/>
      <c r="N181" s="55"/>
      <c r="O181" s="55"/>
      <c r="P181" s="55"/>
      <c r="Q181" s="55"/>
      <c r="R181" s="55"/>
      <c r="S181" s="55"/>
      <c r="T181" s="55"/>
      <c r="U181" s="55"/>
      <c r="V181" s="55"/>
      <c r="W181" s="55"/>
      <c r="X181" s="55"/>
      <c r="Y181" s="55"/>
      <c r="Z181" s="55"/>
      <c r="AA181" s="55"/>
      <c r="AB181" s="55"/>
    </row>
    <row r="182" spans="1:121" s="52" customFormat="1" ht="50.4">
      <c r="A182" s="55"/>
      <c r="B182" s="305" t="s">
        <v>445</v>
      </c>
      <c r="C182" s="83" t="s">
        <v>434</v>
      </c>
      <c r="D182" s="358" t="s">
        <v>532</v>
      </c>
      <c r="E182" s="92" t="s">
        <v>8</v>
      </c>
      <c r="F182" s="101" t="s">
        <v>115</v>
      </c>
      <c r="G182" s="101"/>
      <c r="H182" s="101"/>
      <c r="I182" s="442" t="str">
        <f>IF(AND(ISNUMBER(Qai_grass),ISNUMBER(I153)),100*Qai_grass*QN_grass/(I153*DEPTHgrass*RHOsoilwet),"??")</f>
        <v>??</v>
      </c>
      <c r="J182" s="442" t="str">
        <f>IF(AND(ISNUMBER(Qai_grass_grazing_s),ISNUMBER(J153)),100*Qai_grass_grazing_s*QN_grass/(J153*DEPTHgrass*RHOsoilwet),"??")</f>
        <v>??</v>
      </c>
      <c r="K182" s="83"/>
      <c r="L182" s="55"/>
      <c r="M182" s="55"/>
      <c r="N182" s="55"/>
      <c r="O182" s="55"/>
      <c r="P182" s="55"/>
      <c r="Q182" s="55"/>
      <c r="R182" s="55"/>
      <c r="S182" s="55"/>
      <c r="T182" s="55"/>
      <c r="U182" s="55"/>
      <c r="V182" s="55"/>
      <c r="W182" s="55"/>
      <c r="X182" s="55"/>
      <c r="Y182" s="55"/>
      <c r="Z182" s="55"/>
      <c r="AA182" s="55"/>
      <c r="AB182" s="55"/>
    </row>
    <row r="183" spans="1:121" s="52" customFormat="1" ht="3" customHeight="1">
      <c r="A183" s="55"/>
      <c r="B183" s="96"/>
      <c r="C183" s="83"/>
      <c r="D183" s="96"/>
      <c r="E183" s="92"/>
      <c r="F183" s="101"/>
      <c r="G183" s="101"/>
      <c r="H183" s="101"/>
      <c r="I183" s="150"/>
      <c r="J183" s="150"/>
      <c r="K183" s="83"/>
      <c r="L183" s="55"/>
      <c r="M183" s="55"/>
      <c r="N183" s="55"/>
      <c r="O183" s="55"/>
      <c r="P183" s="55"/>
      <c r="Q183" s="55"/>
      <c r="R183" s="55"/>
      <c r="S183" s="55"/>
      <c r="T183" s="55"/>
      <c r="U183" s="55"/>
      <c r="V183" s="55"/>
      <c r="W183" s="55"/>
      <c r="X183" s="55"/>
      <c r="Y183" s="55"/>
      <c r="Z183" s="55"/>
      <c r="AA183" s="55"/>
      <c r="AB183" s="55"/>
    </row>
    <row r="184" spans="1:121" s="52" customFormat="1" ht="15" customHeight="1">
      <c r="A184" s="55"/>
      <c r="B184" s="364" t="s">
        <v>446</v>
      </c>
      <c r="C184" s="83"/>
      <c r="D184" s="96"/>
      <c r="E184" s="92"/>
      <c r="F184" s="101"/>
      <c r="G184" s="101"/>
      <c r="H184" s="101"/>
      <c r="I184" s="150"/>
      <c r="J184" s="150"/>
      <c r="K184" s="83"/>
      <c r="L184" s="55"/>
      <c r="M184" s="55"/>
      <c r="N184" s="55"/>
      <c r="O184" s="55"/>
      <c r="P184" s="55"/>
      <c r="Q184" s="55"/>
      <c r="R184" s="55"/>
      <c r="S184" s="55"/>
      <c r="T184" s="55"/>
      <c r="U184" s="55"/>
      <c r="V184" s="55"/>
      <c r="W184" s="55"/>
      <c r="X184" s="55"/>
      <c r="Y184" s="55"/>
      <c r="Z184" s="55"/>
      <c r="AA184" s="55"/>
      <c r="AB184" s="55"/>
    </row>
    <row r="185" spans="1:121" s="52" customFormat="1" ht="50.4">
      <c r="A185" s="55"/>
      <c r="B185" s="305" t="s">
        <v>447</v>
      </c>
      <c r="C185" s="83" t="s">
        <v>435</v>
      </c>
      <c r="D185" s="359" t="s">
        <v>533</v>
      </c>
      <c r="E185" s="92" t="s">
        <v>8</v>
      </c>
      <c r="F185" s="101" t="s">
        <v>115</v>
      </c>
      <c r="G185" s="101"/>
      <c r="H185" s="101"/>
      <c r="I185" s="442" t="str">
        <f>IF(ISNUMBER(k_gr),IF(AND(k_gr&gt;0,ISNUMBER(I180)),I180*((1-POWER(EXP(-k_gr*Tgr_int),Nlapp_grass)))/(1-EXP(-k_gr*Tgr_int)),"??"),"??")</f>
        <v>??</v>
      </c>
      <c r="J185" s="442" t="str">
        <f>IF(ISNUMBER(k_gr),IF(AND(k_gr&gt;0,ISNUMBER(J180)),J180*((1-POWER(EXP(-k_gr*Tgr_int),Nlapp_grass)))/(1-EXP(-k_gr*Tgr_int)),"??"),"??")</f>
        <v>??</v>
      </c>
      <c r="K185" s="83"/>
      <c r="L185" s="55"/>
      <c r="M185" s="55"/>
      <c r="N185" s="55"/>
      <c r="O185" s="55"/>
      <c r="P185" s="55"/>
      <c r="Q185" s="55"/>
      <c r="R185" s="55"/>
      <c r="S185" s="55"/>
      <c r="T185" s="55"/>
      <c r="U185" s="55"/>
      <c r="V185" s="55"/>
      <c r="W185" s="55"/>
      <c r="X185" s="55"/>
      <c r="Y185" s="55"/>
      <c r="Z185" s="55"/>
      <c r="AA185" s="55"/>
      <c r="AB185" s="55"/>
    </row>
    <row r="186" spans="1:121" s="52" customFormat="1" ht="3" customHeight="1">
      <c r="A186" s="55"/>
      <c r="B186" s="113"/>
      <c r="C186" s="113"/>
      <c r="D186" s="136"/>
      <c r="E186" s="113"/>
      <c r="F186" s="113"/>
      <c r="G186" s="113"/>
      <c r="H186" s="113"/>
      <c r="I186" s="445"/>
      <c r="J186" s="445"/>
      <c r="K186" s="83"/>
      <c r="L186" s="55"/>
      <c r="M186" s="55"/>
      <c r="N186" s="55"/>
      <c r="O186" s="55"/>
      <c r="P186" s="55"/>
      <c r="Q186" s="55"/>
      <c r="R186" s="55"/>
      <c r="S186" s="55"/>
      <c r="T186" s="55"/>
      <c r="U186" s="55"/>
      <c r="V186" s="55"/>
      <c r="W186" s="55"/>
      <c r="X186" s="55"/>
      <c r="Y186" s="55"/>
      <c r="Z186" s="55"/>
      <c r="AA186" s="55"/>
      <c r="AB186" s="55"/>
      <c r="DP186" s="58"/>
      <c r="DQ186" s="58"/>
    </row>
    <row r="187" spans="1:121" s="52" customFormat="1" ht="15" customHeight="1">
      <c r="A187" s="55"/>
      <c r="B187" s="364" t="s">
        <v>442</v>
      </c>
      <c r="C187" s="83"/>
      <c r="D187" s="96"/>
      <c r="E187" s="92"/>
      <c r="F187" s="101"/>
      <c r="G187" s="101"/>
      <c r="H187" s="101"/>
      <c r="I187" s="150"/>
      <c r="J187" s="150"/>
      <c r="K187" s="83"/>
      <c r="L187" s="55"/>
      <c r="M187" s="55"/>
      <c r="N187" s="55"/>
      <c r="O187" s="55"/>
      <c r="P187" s="55"/>
      <c r="Q187" s="55"/>
      <c r="R187" s="55"/>
      <c r="S187" s="55"/>
      <c r="T187" s="55"/>
      <c r="U187" s="55"/>
      <c r="V187" s="55"/>
      <c r="W187" s="55"/>
      <c r="X187" s="55"/>
      <c r="Y187" s="55"/>
      <c r="Z187" s="55"/>
      <c r="AA187" s="55"/>
      <c r="AB187" s="55"/>
    </row>
    <row r="188" spans="1:121" s="52" customFormat="1" ht="50.4">
      <c r="A188" s="55"/>
      <c r="B188" s="305" t="s">
        <v>448</v>
      </c>
      <c r="C188" s="106" t="s">
        <v>436</v>
      </c>
      <c r="D188" s="362" t="s">
        <v>534</v>
      </c>
      <c r="E188" s="92" t="s">
        <v>8</v>
      </c>
      <c r="F188" s="101" t="s">
        <v>115</v>
      </c>
      <c r="G188" s="101"/>
      <c r="H188" s="101"/>
      <c r="I188" s="442" t="str">
        <f>IF(ISNUMBER(I185),I185*(1-(POWER(EXP(-k_gr*365),10)))/(1-EXP(-k_gr*365)),"??")</f>
        <v>??</v>
      </c>
      <c r="J188" s="442" t="str">
        <f>IF(ISNUMBER(J185),J185*(1-(POWER(EXP(-k_gr*365),10)))/(1-EXP(-k_gr*365)),"??")</f>
        <v>??</v>
      </c>
      <c r="K188" s="83"/>
      <c r="L188" s="55"/>
      <c r="M188" s="55"/>
      <c r="N188" s="55"/>
      <c r="O188" s="55"/>
      <c r="P188" s="55"/>
      <c r="Q188" s="55"/>
      <c r="R188" s="55"/>
      <c r="S188" s="55"/>
      <c r="T188" s="55"/>
      <c r="U188" s="55"/>
      <c r="V188" s="55"/>
      <c r="W188" s="55"/>
      <c r="X188" s="55"/>
      <c r="Y188" s="55"/>
      <c r="Z188" s="55"/>
      <c r="AA188" s="55"/>
      <c r="AB188" s="55"/>
    </row>
    <row r="189" spans="1:121" s="52" customFormat="1" ht="3" customHeight="1">
      <c r="A189" s="55"/>
      <c r="B189" s="113"/>
      <c r="C189" s="113"/>
      <c r="D189" s="136"/>
      <c r="E189" s="113"/>
      <c r="F189" s="113"/>
      <c r="G189" s="113"/>
      <c r="H189" s="113"/>
      <c r="I189" s="447"/>
      <c r="J189" s="447"/>
      <c r="K189" s="83"/>
      <c r="L189" s="55"/>
      <c r="M189" s="55"/>
      <c r="N189" s="55"/>
      <c r="O189" s="55"/>
      <c r="P189" s="55"/>
      <c r="Q189" s="55"/>
      <c r="R189" s="55"/>
      <c r="S189" s="55"/>
      <c r="T189" s="55"/>
      <c r="U189" s="55"/>
      <c r="V189" s="55"/>
      <c r="W189" s="55"/>
      <c r="X189" s="55"/>
      <c r="Y189" s="55"/>
      <c r="Z189" s="55"/>
      <c r="AA189" s="55"/>
      <c r="AB189" s="55"/>
      <c r="DP189" s="58"/>
      <c r="DQ189" s="58"/>
    </row>
    <row r="190" spans="1:121" s="52" customFormat="1" ht="39">
      <c r="A190" s="55"/>
      <c r="B190" s="305" t="s">
        <v>431</v>
      </c>
      <c r="C190" s="85" t="s">
        <v>437</v>
      </c>
      <c r="D190" s="359" t="s">
        <v>535</v>
      </c>
      <c r="E190" s="92" t="s">
        <v>8</v>
      </c>
      <c r="F190" s="101" t="s">
        <v>115</v>
      </c>
      <c r="G190" s="101"/>
      <c r="H190" s="113"/>
      <c r="I190" s="442" t="str">
        <f t="shared" ref="I190:J190" si="0">IF(ISNUMBER(I188),I188*(1-EXP(-k_gr*30))/(k_gr*30),"??")</f>
        <v>??</v>
      </c>
      <c r="J190" s="442" t="str">
        <f t="shared" si="0"/>
        <v>??</v>
      </c>
      <c r="K190" s="83"/>
      <c r="L190" s="55"/>
      <c r="M190" s="55"/>
      <c r="N190" s="55"/>
      <c r="O190" s="55"/>
      <c r="P190" s="55"/>
      <c r="Q190" s="55"/>
      <c r="R190" s="55"/>
      <c r="S190" s="55"/>
      <c r="T190" s="55"/>
      <c r="U190" s="55"/>
      <c r="V190" s="55"/>
      <c r="W190" s="55"/>
      <c r="X190" s="55"/>
      <c r="Y190" s="55"/>
      <c r="Z190" s="55"/>
      <c r="AA190" s="55"/>
      <c r="AB190" s="55"/>
      <c r="DP190" s="58"/>
      <c r="DQ190" s="58"/>
    </row>
    <row r="191" spans="1:121" s="52" customFormat="1" ht="3" customHeight="1">
      <c r="A191" s="55"/>
      <c r="B191" s="305"/>
      <c r="C191" s="85"/>
      <c r="D191" s="359"/>
      <c r="E191" s="92"/>
      <c r="F191" s="101"/>
      <c r="G191" s="101"/>
      <c r="H191" s="113"/>
      <c r="I191" s="83"/>
      <c r="J191" s="113"/>
      <c r="K191" s="83"/>
      <c r="L191" s="55"/>
      <c r="M191" s="55"/>
      <c r="N191" s="55"/>
      <c r="O191" s="55"/>
      <c r="P191" s="55"/>
      <c r="Q191" s="55"/>
      <c r="R191" s="55"/>
      <c r="S191" s="55"/>
      <c r="T191" s="55"/>
      <c r="U191" s="55"/>
      <c r="V191" s="55"/>
      <c r="W191" s="55"/>
      <c r="X191" s="55"/>
      <c r="Y191" s="55"/>
      <c r="Z191" s="55"/>
      <c r="AA191" s="55"/>
      <c r="AB191" s="55"/>
      <c r="DP191" s="58"/>
      <c r="DQ191" s="58"/>
    </row>
    <row r="192" spans="1:121" s="52" customFormat="1" ht="39">
      <c r="A192" s="55"/>
      <c r="B192" s="305" t="s">
        <v>432</v>
      </c>
      <c r="C192" s="85" t="s">
        <v>438</v>
      </c>
      <c r="D192" s="359" t="s">
        <v>536</v>
      </c>
      <c r="E192" s="92" t="s">
        <v>8</v>
      </c>
      <c r="F192" s="101" t="s">
        <v>115</v>
      </c>
      <c r="G192" s="101"/>
      <c r="H192" s="113"/>
      <c r="I192" s="442" t="str">
        <f>IF(ISNUMBER(I188),I188*(1-EXP(-k_gr*180))/(k_gr*180),"??")</f>
        <v>??</v>
      </c>
      <c r="J192" s="442" t="str">
        <f>IF(ISNUMBER(J188),J188*(1-EXP(-k_gr*180))/(k_gr*180),"??")</f>
        <v>??</v>
      </c>
      <c r="K192" s="83"/>
      <c r="L192" s="55"/>
      <c r="M192" s="55"/>
      <c r="N192" s="55"/>
      <c r="O192" s="55"/>
      <c r="P192" s="55"/>
      <c r="Q192" s="55"/>
      <c r="R192" s="55"/>
      <c r="S192" s="55"/>
      <c r="T192" s="55"/>
      <c r="U192" s="55"/>
      <c r="V192" s="55"/>
      <c r="W192" s="55"/>
      <c r="X192" s="55"/>
      <c r="Y192" s="55"/>
      <c r="Z192" s="55"/>
      <c r="AA192" s="55"/>
      <c r="AB192" s="55"/>
      <c r="DP192" s="58"/>
      <c r="DQ192" s="58"/>
    </row>
    <row r="193" spans="1:121" s="52" customFormat="1">
      <c r="A193" s="55"/>
      <c r="B193" s="99"/>
      <c r="C193" s="106"/>
      <c r="D193" s="100"/>
      <c r="E193" s="92"/>
      <c r="F193" s="101"/>
      <c r="G193" s="101"/>
      <c r="H193" s="113"/>
      <c r="I193" s="83"/>
      <c r="J193" s="113"/>
      <c r="K193" s="83"/>
      <c r="L193" s="55"/>
      <c r="M193" s="55"/>
      <c r="N193" s="55"/>
      <c r="O193" s="55"/>
      <c r="P193" s="55"/>
      <c r="Q193" s="55"/>
      <c r="R193" s="55"/>
      <c r="S193" s="55"/>
      <c r="T193" s="55"/>
      <c r="U193" s="55"/>
      <c r="V193" s="55"/>
      <c r="W193" s="55"/>
      <c r="X193" s="55"/>
      <c r="Y193" s="55"/>
      <c r="Z193" s="55"/>
      <c r="AA193" s="55"/>
      <c r="AB193" s="55"/>
      <c r="DP193" s="58"/>
      <c r="DQ193" s="58"/>
    </row>
    <row r="194" spans="1:121" s="52" customFormat="1" ht="17.399999999999999">
      <c r="A194" s="55"/>
      <c r="B194" s="175" t="s">
        <v>159</v>
      </c>
      <c r="C194" s="113"/>
      <c r="D194" s="133"/>
      <c r="E194" s="133"/>
      <c r="F194" s="133"/>
      <c r="G194" s="133"/>
      <c r="H194" s="133"/>
      <c r="I194" s="106"/>
      <c r="J194" s="101"/>
      <c r="K194" s="83"/>
      <c r="L194" s="55"/>
      <c r="M194" s="55"/>
      <c r="N194" s="55"/>
      <c r="O194" s="55"/>
      <c r="P194" s="55"/>
      <c r="Q194" s="55"/>
      <c r="R194" s="55"/>
      <c r="S194" s="55"/>
      <c r="T194" s="55"/>
      <c r="U194" s="55"/>
      <c r="V194" s="55"/>
      <c r="W194" s="55"/>
      <c r="X194" s="55"/>
      <c r="Y194" s="55"/>
      <c r="Z194" s="55"/>
      <c r="AA194" s="55"/>
      <c r="AB194" s="55"/>
    </row>
    <row r="195" spans="1:121" s="52" customFormat="1" ht="40.200000000000003">
      <c r="A195" s="55"/>
      <c r="B195" s="99" t="s">
        <v>174</v>
      </c>
      <c r="C195" s="86" t="s">
        <v>439</v>
      </c>
      <c r="D195" s="358" t="s">
        <v>537</v>
      </c>
      <c r="E195" s="92" t="s">
        <v>8</v>
      </c>
      <c r="F195" s="338" t="s">
        <v>401</v>
      </c>
      <c r="G195" s="101"/>
      <c r="H195" s="105"/>
      <c r="I195" s="442" t="str">
        <f>IF(AND(ISNUMBER(I192),Ksoil_water&gt;0),I192*RHOsoilwet/Ksoil_water,"??")</f>
        <v>??</v>
      </c>
      <c r="J195" s="442" t="str">
        <f>IF(AND(ISNUMBER(J192),Ksoil_water&gt;0),J192*RHOsoilwet/Ksoil_water,"??")</f>
        <v>??</v>
      </c>
      <c r="K195" s="83"/>
      <c r="L195" s="55"/>
      <c r="M195" s="55"/>
      <c r="N195" s="55"/>
      <c r="O195" s="55"/>
      <c r="P195" s="55"/>
      <c r="Q195" s="55"/>
      <c r="R195" s="55"/>
      <c r="S195" s="55"/>
      <c r="T195" s="55"/>
      <c r="U195" s="55"/>
      <c r="V195" s="55"/>
      <c r="W195" s="55"/>
      <c r="X195" s="55"/>
      <c r="Y195" s="55"/>
      <c r="Z195" s="55"/>
      <c r="AA195" s="55"/>
      <c r="AB195" s="55"/>
    </row>
    <row r="196" spans="1:121" s="52" customFormat="1" ht="3" customHeight="1">
      <c r="A196" s="55"/>
      <c r="B196" s="96"/>
      <c r="C196" s="86"/>
      <c r="D196" s="358"/>
      <c r="E196" s="92"/>
      <c r="F196" s="101"/>
      <c r="G196" s="101"/>
      <c r="H196" s="105"/>
      <c r="I196" s="118"/>
      <c r="J196" s="118"/>
      <c r="K196" s="83"/>
      <c r="L196" s="55"/>
      <c r="M196" s="55"/>
      <c r="N196" s="55"/>
      <c r="O196" s="55"/>
      <c r="P196" s="55"/>
      <c r="Q196" s="55"/>
      <c r="R196" s="55"/>
      <c r="S196" s="55"/>
      <c r="T196" s="55"/>
      <c r="U196" s="55"/>
      <c r="V196" s="55"/>
      <c r="W196" s="55"/>
      <c r="X196" s="55"/>
      <c r="Y196" s="55"/>
      <c r="Z196" s="55"/>
      <c r="AA196" s="55"/>
      <c r="AB196" s="55"/>
    </row>
    <row r="197" spans="1:121" s="52" customFormat="1" ht="27.6">
      <c r="A197" s="55"/>
      <c r="B197" s="99" t="s">
        <v>176</v>
      </c>
      <c r="C197" s="86" t="s">
        <v>440</v>
      </c>
      <c r="D197" s="361" t="s">
        <v>538</v>
      </c>
      <c r="E197" s="174" t="s">
        <v>8</v>
      </c>
      <c r="F197" s="101" t="s">
        <v>456</v>
      </c>
      <c r="G197" s="101"/>
      <c r="H197" s="105"/>
      <c r="I197" s="442" t="str">
        <f>IF(AND(ISNUMBER(I190),ISNUMBER(Ksoil_water)),I190*RHOsoilwet/(Ksoil_water*DILUTION*1000),"??")</f>
        <v>??</v>
      </c>
      <c r="J197" s="442" t="str">
        <f>IF(AND(ISNUMBER(J190),ISNUMBER(Ksoil_water)),J190*RHOsoilwet/(Ksoil_water*DILUTION*1000),"??")</f>
        <v>??</v>
      </c>
      <c r="K197" s="83"/>
      <c r="L197" s="55"/>
      <c r="M197" s="55"/>
      <c r="N197" s="55"/>
      <c r="O197" s="55"/>
      <c r="P197" s="55"/>
      <c r="Q197" s="55"/>
      <c r="R197" s="55"/>
      <c r="S197" s="55"/>
      <c r="T197" s="55"/>
      <c r="U197" s="55"/>
      <c r="V197" s="55"/>
      <c r="W197" s="55"/>
      <c r="X197" s="55"/>
      <c r="Y197" s="55"/>
      <c r="Z197" s="55"/>
      <c r="AA197" s="55"/>
      <c r="AB197" s="55"/>
      <c r="AC197" s="55"/>
    </row>
    <row r="198" spans="1:121" s="52" customFormat="1" ht="3" customHeight="1">
      <c r="A198" s="55"/>
      <c r="B198" s="160"/>
      <c r="C198" s="86"/>
      <c r="D198" s="358"/>
      <c r="E198" s="174"/>
      <c r="F198" s="101"/>
      <c r="G198" s="101"/>
      <c r="H198" s="105"/>
      <c r="I198" s="106"/>
      <c r="J198" s="106"/>
      <c r="K198" s="83"/>
      <c r="L198" s="55"/>
      <c r="M198" s="55"/>
      <c r="N198" s="55"/>
      <c r="O198" s="55"/>
      <c r="P198" s="55"/>
      <c r="Q198" s="55"/>
      <c r="R198" s="55"/>
      <c r="S198" s="55"/>
      <c r="T198" s="55"/>
      <c r="U198" s="55"/>
      <c r="V198" s="55"/>
      <c r="W198" s="55"/>
      <c r="X198" s="55"/>
      <c r="Y198" s="55"/>
      <c r="Z198" s="55"/>
      <c r="AA198" s="55"/>
      <c r="AB198" s="55"/>
      <c r="AC198" s="55"/>
    </row>
    <row r="199" spans="1:121" s="52" customFormat="1" ht="27.6">
      <c r="A199" s="55"/>
      <c r="B199" s="99" t="s">
        <v>161</v>
      </c>
      <c r="C199" s="305" t="s">
        <v>162</v>
      </c>
      <c r="D199" s="305" t="s">
        <v>457</v>
      </c>
      <c r="E199" s="174" t="s">
        <v>8</v>
      </c>
      <c r="F199" s="101" t="s">
        <v>115</v>
      </c>
      <c r="G199" s="101"/>
      <c r="H199" s="105"/>
      <c r="I199" s="442" t="str">
        <f>IF(AND(ISNUMBER(I197),ISNUMBER(Ksusp_water)),+I197*Ksusp_water*1000/RHOsusp,"??")</f>
        <v>??</v>
      </c>
      <c r="J199" s="442" t="str">
        <f>IF(AND(ISNUMBER(J197),ISNUMBER(Ksusp_water)),+J197*Ksusp_water*1000/RHOsusp,"??")</f>
        <v>??</v>
      </c>
      <c r="K199" s="83"/>
      <c r="L199" s="55"/>
      <c r="M199" s="55"/>
      <c r="N199" s="55"/>
      <c r="O199" s="55"/>
      <c r="P199" s="55"/>
      <c r="Q199" s="55"/>
      <c r="R199" s="55"/>
      <c r="S199" s="55"/>
      <c r="T199" s="55"/>
      <c r="U199" s="55"/>
      <c r="V199" s="55"/>
      <c r="W199" s="55"/>
      <c r="X199" s="55"/>
      <c r="Y199" s="55"/>
      <c r="Z199" s="55"/>
      <c r="AA199" s="55"/>
      <c r="AB199" s="55"/>
      <c r="AC199" s="55"/>
    </row>
    <row r="200" spans="1:121" s="52" customFormat="1">
      <c r="A200" s="55"/>
      <c r="B200" s="160"/>
      <c r="C200" s="99"/>
      <c r="D200" s="99"/>
      <c r="E200" s="174"/>
      <c r="F200" s="101"/>
      <c r="G200" s="101"/>
      <c r="H200" s="105"/>
      <c r="I200" s="106"/>
      <c r="J200" s="106"/>
      <c r="K200" s="83"/>
      <c r="L200" s="55"/>
      <c r="M200" s="55"/>
      <c r="N200" s="55"/>
      <c r="O200" s="55"/>
      <c r="P200" s="55"/>
      <c r="Q200" s="55"/>
      <c r="R200" s="55"/>
      <c r="S200" s="55"/>
      <c r="T200" s="55"/>
      <c r="U200" s="55"/>
      <c r="V200" s="55"/>
      <c r="W200" s="55"/>
      <c r="X200" s="55"/>
      <c r="Y200" s="55"/>
      <c r="Z200" s="55"/>
      <c r="AA200" s="55"/>
      <c r="AB200" s="55"/>
      <c r="AC200" s="55"/>
    </row>
    <row r="201" spans="1:121" s="52" customFormat="1" ht="17.399999999999999">
      <c r="A201" s="55"/>
      <c r="B201" s="133" t="s">
        <v>51</v>
      </c>
      <c r="C201" s="133"/>
      <c r="D201" s="133"/>
      <c r="E201" s="133"/>
      <c r="F201" s="86"/>
      <c r="G201" s="86"/>
      <c r="H201" s="86"/>
      <c r="I201" s="106"/>
      <c r="J201" s="101"/>
      <c r="K201" s="83"/>
      <c r="L201" s="55"/>
      <c r="M201" s="55"/>
      <c r="N201" s="55"/>
      <c r="O201" s="55"/>
      <c r="P201" s="55"/>
      <c r="Q201" s="55"/>
      <c r="R201" s="55"/>
      <c r="S201" s="55"/>
      <c r="T201" s="55"/>
      <c r="U201" s="55"/>
      <c r="V201" s="55"/>
      <c r="W201" s="55"/>
      <c r="X201" s="55"/>
      <c r="Y201" s="55"/>
      <c r="Z201" s="55"/>
      <c r="AA201" s="55"/>
      <c r="AB201" s="55"/>
    </row>
    <row r="202" spans="1:121" s="52" customFormat="1" ht="25.2">
      <c r="A202" s="55"/>
      <c r="B202" s="93" t="s">
        <v>356</v>
      </c>
      <c r="C202" s="93" t="s">
        <v>105</v>
      </c>
      <c r="D202" s="96" t="s">
        <v>350</v>
      </c>
      <c r="E202" s="92" t="s">
        <v>8</v>
      </c>
      <c r="F202" s="92" t="s">
        <v>261</v>
      </c>
      <c r="G202" s="92"/>
      <c r="H202" s="92"/>
      <c r="I202" s="442" t="str">
        <f>IF(AND(ISNUMBER(Fwastewater),ISNUMBER(Qai_prescr),ISNUMBER(Napp_teat)),Fwastewater* Qai_prescr*I130*Napp_teat*Temission/365,IF(AND(ISNUMBER(Fwastewater),ISNUMBER(Qai_prescr),ISNUMBER(Napp_teat_set)),Fwastewater* Qai_prescr*I130*Napp_teat_set*Temission/365,"??"))</f>
        <v>??</v>
      </c>
      <c r="J202" s="442" t="str">
        <f>IF(AND(ISNUMBER(Fwastewater),ISNUMBER(Qai_prescr),ISNUMBER(Napp_teat)),Fwastewater* Qai_prescr*J130*Napp_teat*Temission/365,IF(AND(ISNUMBER(Fwastewater),ISNUMBER(Qai_prescr),ISNUMBER(Napp_teat_set)),Fwastewater* Qai_prescr*J130*Napp_teat_set*Temission/365,"??"))</f>
        <v>??</v>
      </c>
      <c r="K202" s="83"/>
      <c r="L202" s="55"/>
      <c r="M202" s="55"/>
      <c r="N202" s="55"/>
      <c r="O202" s="55"/>
      <c r="P202" s="55"/>
      <c r="Q202" s="55"/>
      <c r="R202" s="55"/>
      <c r="S202" s="55"/>
      <c r="T202" s="55"/>
      <c r="U202" s="55"/>
      <c r="V202" s="55"/>
      <c r="W202" s="55"/>
      <c r="X202" s="55"/>
      <c r="Y202" s="55"/>
      <c r="Z202" s="55"/>
      <c r="AA202" s="55"/>
      <c r="AB202" s="55"/>
    </row>
    <row r="203" spans="1:121" s="55" customFormat="1" ht="12" customHeight="1">
      <c r="B203" s="96"/>
      <c r="C203" s="83"/>
      <c r="D203" s="84"/>
      <c r="E203" s="83"/>
      <c r="F203" s="83"/>
      <c r="G203" s="83"/>
      <c r="H203" s="83"/>
      <c r="I203" s="83"/>
      <c r="J203" s="138"/>
      <c r="K203" s="83"/>
    </row>
    <row r="204" spans="1:121" s="55" customFormat="1">
      <c r="B204" s="96"/>
      <c r="C204" s="91"/>
      <c r="D204" s="139"/>
      <c r="E204" s="83"/>
      <c r="F204" s="83"/>
      <c r="G204" s="83"/>
      <c r="H204" s="83"/>
      <c r="I204" s="83"/>
      <c r="J204" s="106"/>
      <c r="K204" s="83"/>
    </row>
    <row r="205" spans="1:121" s="52" customFormat="1">
      <c r="A205" s="55"/>
      <c r="B205" s="493" t="s">
        <v>12</v>
      </c>
      <c r="C205" s="493"/>
      <c r="D205" s="493"/>
      <c r="E205" s="493"/>
      <c r="F205" s="493"/>
      <c r="G205" s="493"/>
      <c r="H205" s="493"/>
      <c r="I205" s="493"/>
      <c r="J205" s="493"/>
      <c r="K205" s="493"/>
      <c r="L205" s="493"/>
      <c r="M205" s="54"/>
    </row>
    <row r="206" spans="1:121" s="52" customFormat="1">
      <c r="B206" s="493"/>
      <c r="C206" s="493"/>
      <c r="D206" s="493"/>
      <c r="E206" s="493"/>
      <c r="F206" s="493"/>
      <c r="G206" s="493"/>
      <c r="H206" s="493"/>
      <c r="I206" s="493"/>
      <c r="J206" s="493"/>
      <c r="K206" s="493"/>
      <c r="L206" s="493"/>
      <c r="M206" s="54"/>
    </row>
    <row r="207" spans="1:121" s="52" customFormat="1">
      <c r="B207" s="493"/>
      <c r="C207" s="493"/>
      <c r="D207" s="493"/>
      <c r="E207" s="493"/>
      <c r="F207" s="493"/>
      <c r="G207" s="493"/>
      <c r="H207" s="493"/>
      <c r="I207" s="493"/>
      <c r="J207" s="493"/>
      <c r="K207" s="493"/>
      <c r="L207" s="493"/>
      <c r="M207" s="54"/>
    </row>
    <row r="208" spans="1:121" s="52" customFormat="1">
      <c r="L208" s="53"/>
      <c r="M208" s="54"/>
    </row>
    <row r="209" spans="12:13" s="52" customFormat="1">
      <c r="L209" s="53"/>
      <c r="M209" s="54"/>
    </row>
    <row r="210" spans="12:13" s="52" customFormat="1">
      <c r="L210" s="53"/>
      <c r="M210" s="54"/>
    </row>
    <row r="211" spans="12:13" s="52" customFormat="1">
      <c r="L211" s="53"/>
      <c r="M211" s="54"/>
    </row>
    <row r="212" spans="12:13" s="52" customFormat="1">
      <c r="L212" s="53"/>
      <c r="M212" s="54"/>
    </row>
    <row r="213" spans="12:13" s="52" customFormat="1">
      <c r="L213" s="53"/>
      <c r="M213" s="54"/>
    </row>
    <row r="214" spans="12:13" s="52" customFormat="1">
      <c r="L214" s="53"/>
      <c r="M214" s="54"/>
    </row>
    <row r="215" spans="12:13" s="52" customFormat="1">
      <c r="L215" s="53"/>
      <c r="M215" s="54"/>
    </row>
    <row r="216" spans="12:13" s="52" customFormat="1">
      <c r="L216" s="53"/>
      <c r="M216" s="54"/>
    </row>
    <row r="217" spans="12:13" s="52" customFormat="1">
      <c r="L217" s="53"/>
      <c r="M217" s="54"/>
    </row>
    <row r="218" spans="12:13" s="52" customFormat="1">
      <c r="L218" s="53"/>
      <c r="M218" s="54"/>
    </row>
    <row r="219" spans="12:13" s="52" customFormat="1">
      <c r="L219" s="53"/>
      <c r="M219" s="54"/>
    </row>
    <row r="220" spans="12:13" s="52" customFormat="1">
      <c r="L220" s="53"/>
      <c r="M220" s="54"/>
    </row>
    <row r="221" spans="12:13" s="52" customFormat="1">
      <c r="L221" s="53"/>
      <c r="M221" s="54"/>
    </row>
    <row r="222" spans="12:13" s="52" customFormat="1">
      <c r="L222" s="53"/>
      <c r="M222" s="54"/>
    </row>
    <row r="223" spans="12:13" s="52" customFormat="1">
      <c r="L223" s="53"/>
      <c r="M223" s="54"/>
    </row>
    <row r="224" spans="12:13" s="52" customFormat="1">
      <c r="L224" s="53"/>
      <c r="M224" s="54"/>
    </row>
    <row r="225" spans="12:13" s="52" customFormat="1">
      <c r="L225" s="53"/>
      <c r="M225" s="54"/>
    </row>
    <row r="226" spans="12:13" s="52" customFormat="1">
      <c r="L226" s="53"/>
      <c r="M226" s="54"/>
    </row>
    <row r="227" spans="12:13" s="52" customFormat="1">
      <c r="L227" s="53"/>
      <c r="M227" s="54"/>
    </row>
    <row r="228" spans="12:13" s="52" customFormat="1">
      <c r="L228" s="53"/>
      <c r="M228" s="54"/>
    </row>
    <row r="229" spans="12:13" s="52" customFormat="1">
      <c r="L229" s="53"/>
      <c r="M229" s="54"/>
    </row>
    <row r="230" spans="12:13" s="52" customFormat="1">
      <c r="L230" s="53"/>
      <c r="M230" s="54"/>
    </row>
    <row r="231" spans="12:13" s="52" customFormat="1">
      <c r="L231" s="53"/>
      <c r="M231" s="54"/>
    </row>
    <row r="232" spans="12:13" s="52" customFormat="1">
      <c r="L232" s="53"/>
      <c r="M232" s="54"/>
    </row>
    <row r="233" spans="12:13" s="52" customFormat="1">
      <c r="L233" s="53"/>
      <c r="M233" s="54"/>
    </row>
    <row r="234" spans="12:13" s="52" customFormat="1">
      <c r="L234" s="53"/>
      <c r="M234" s="54"/>
    </row>
    <row r="235" spans="12:13" s="52" customFormat="1">
      <c r="L235" s="53"/>
      <c r="M235" s="54"/>
    </row>
    <row r="236" spans="12:13" s="52" customFormat="1">
      <c r="L236" s="53"/>
      <c r="M236" s="54"/>
    </row>
    <row r="237" spans="12:13" s="52" customFormat="1">
      <c r="L237" s="53"/>
      <c r="M237" s="54"/>
    </row>
    <row r="238" spans="12:13" s="52" customFormat="1">
      <c r="L238" s="53"/>
      <c r="M238" s="54"/>
    </row>
    <row r="239" spans="12:13" s="52" customFormat="1">
      <c r="L239" s="53"/>
      <c r="M239" s="54"/>
    </row>
    <row r="240" spans="12:13" s="52" customFormat="1">
      <c r="L240" s="53"/>
      <c r="M240" s="54"/>
    </row>
    <row r="241" spans="12:13" s="52" customFormat="1">
      <c r="L241" s="53"/>
      <c r="M241" s="54"/>
    </row>
    <row r="242" spans="12:13" s="52" customFormat="1">
      <c r="L242" s="53"/>
      <c r="M242" s="54"/>
    </row>
    <row r="243" spans="12:13" s="52" customFormat="1">
      <c r="L243" s="53"/>
      <c r="M243" s="54"/>
    </row>
    <row r="244" spans="12:13" s="52" customFormat="1">
      <c r="L244" s="53"/>
      <c r="M244" s="54"/>
    </row>
    <row r="245" spans="12:13" s="52" customFormat="1">
      <c r="L245" s="53"/>
      <c r="M245" s="54"/>
    </row>
    <row r="246" spans="12:13" s="52" customFormat="1">
      <c r="L246" s="53"/>
      <c r="M246" s="54"/>
    </row>
    <row r="247" spans="12:13" s="52" customFormat="1">
      <c r="L247" s="53"/>
      <c r="M247" s="54"/>
    </row>
    <row r="248" spans="12:13" s="52" customFormat="1">
      <c r="L248" s="53"/>
      <c r="M248" s="54"/>
    </row>
    <row r="249" spans="12:13" s="52" customFormat="1">
      <c r="L249" s="53"/>
      <c r="M249" s="54"/>
    </row>
    <row r="250" spans="12:13" s="52" customFormat="1">
      <c r="L250" s="53"/>
      <c r="M250" s="54"/>
    </row>
    <row r="251" spans="12:13" s="52" customFormat="1">
      <c r="L251" s="53"/>
      <c r="M251" s="54"/>
    </row>
    <row r="252" spans="12:13" s="52" customFormat="1">
      <c r="L252" s="53"/>
      <c r="M252" s="54"/>
    </row>
    <row r="253" spans="12:13" s="52" customFormat="1">
      <c r="L253" s="53"/>
      <c r="M253" s="54"/>
    </row>
    <row r="254" spans="12:13" s="52" customFormat="1">
      <c r="L254" s="53"/>
      <c r="M254" s="54"/>
    </row>
    <row r="255" spans="12:13" s="52" customFormat="1">
      <c r="L255" s="53"/>
      <c r="M255" s="54"/>
    </row>
    <row r="256" spans="12:13" s="52" customFormat="1">
      <c r="L256" s="53"/>
      <c r="M256" s="54"/>
    </row>
    <row r="257" spans="12:13" s="52" customFormat="1">
      <c r="L257" s="53"/>
      <c r="M257" s="54"/>
    </row>
    <row r="258" spans="12:13" s="52" customFormat="1">
      <c r="L258" s="53"/>
      <c r="M258" s="54"/>
    </row>
    <row r="259" spans="12:13" s="52" customFormat="1">
      <c r="L259" s="53"/>
      <c r="M259" s="54"/>
    </row>
    <row r="260" spans="12:13" s="52" customFormat="1">
      <c r="L260" s="53"/>
      <c r="M260" s="54"/>
    </row>
    <row r="261" spans="12:13" s="52" customFormat="1">
      <c r="L261" s="53"/>
      <c r="M261" s="54"/>
    </row>
    <row r="262" spans="12:13" s="52" customFormat="1">
      <c r="L262" s="53"/>
      <c r="M262" s="54"/>
    </row>
    <row r="263" spans="12:13" s="52" customFormat="1">
      <c r="L263" s="53"/>
      <c r="M263" s="54"/>
    </row>
    <row r="264" spans="12:13" s="52" customFormat="1">
      <c r="L264" s="53"/>
      <c r="M264" s="54"/>
    </row>
    <row r="265" spans="12:13" s="52" customFormat="1">
      <c r="L265" s="53"/>
      <c r="M265" s="54"/>
    </row>
    <row r="266" spans="12:13" s="52" customFormat="1">
      <c r="L266" s="53"/>
      <c r="M266" s="54"/>
    </row>
    <row r="267" spans="12:13" s="52" customFormat="1">
      <c r="L267" s="53"/>
      <c r="M267" s="54"/>
    </row>
    <row r="268" spans="12:13" s="52" customFormat="1">
      <c r="L268" s="53"/>
      <c r="M268" s="54"/>
    </row>
    <row r="269" spans="12:13" s="52" customFormat="1">
      <c r="L269" s="53"/>
      <c r="M269" s="54"/>
    </row>
    <row r="270" spans="12:13" s="52" customFormat="1">
      <c r="L270" s="53"/>
      <c r="M270" s="54"/>
    </row>
    <row r="271" spans="12:13" s="52" customFormat="1">
      <c r="L271" s="53"/>
      <c r="M271" s="54"/>
    </row>
    <row r="272" spans="12:13" s="52" customFormat="1">
      <c r="L272" s="53"/>
      <c r="M272" s="54"/>
    </row>
    <row r="273" spans="12:13" s="52" customFormat="1">
      <c r="L273" s="53"/>
      <c r="M273" s="54"/>
    </row>
    <row r="274" spans="12:13" s="52" customFormat="1">
      <c r="L274" s="53"/>
      <c r="M274" s="54"/>
    </row>
    <row r="275" spans="12:13" s="52" customFormat="1">
      <c r="L275" s="53"/>
      <c r="M275" s="54"/>
    </row>
    <row r="276" spans="12:13" s="52" customFormat="1">
      <c r="L276" s="53"/>
      <c r="M276" s="54"/>
    </row>
    <row r="277" spans="12:13" s="52" customFormat="1">
      <c r="L277" s="53"/>
      <c r="M277" s="54"/>
    </row>
    <row r="278" spans="12:13" s="52" customFormat="1">
      <c r="L278" s="53"/>
      <c r="M278" s="54"/>
    </row>
    <row r="279" spans="12:13" s="52" customFormat="1">
      <c r="L279" s="53"/>
      <c r="M279" s="54"/>
    </row>
    <row r="280" spans="12:13" s="52" customFormat="1">
      <c r="L280" s="53"/>
      <c r="M280" s="54"/>
    </row>
    <row r="281" spans="12:13" s="52" customFormat="1">
      <c r="L281" s="53"/>
      <c r="M281" s="54"/>
    </row>
    <row r="282" spans="12:13" s="52" customFormat="1">
      <c r="L282" s="53"/>
      <c r="M282" s="54"/>
    </row>
    <row r="283" spans="12:13" s="52" customFormat="1">
      <c r="L283" s="53"/>
      <c r="M283" s="54"/>
    </row>
    <row r="284" spans="12:13" s="52" customFormat="1">
      <c r="L284" s="53"/>
      <c r="M284" s="54"/>
    </row>
    <row r="285" spans="12:13" s="52" customFormat="1">
      <c r="L285" s="53"/>
      <c r="M285" s="54"/>
    </row>
    <row r="286" spans="12:13" s="52" customFormat="1">
      <c r="L286" s="53"/>
      <c r="M286" s="54"/>
    </row>
    <row r="287" spans="12:13" s="52" customFormat="1">
      <c r="L287" s="53"/>
      <c r="M287" s="54"/>
    </row>
    <row r="288" spans="12:13" s="52" customFormat="1">
      <c r="L288" s="53"/>
      <c r="M288" s="54"/>
    </row>
    <row r="289" spans="12:13" s="52" customFormat="1">
      <c r="L289" s="53"/>
      <c r="M289" s="54"/>
    </row>
    <row r="290" spans="12:13" s="52" customFormat="1">
      <c r="L290" s="53"/>
      <c r="M290" s="54"/>
    </row>
    <row r="291" spans="12:13" s="52" customFormat="1">
      <c r="L291" s="53"/>
      <c r="M291" s="54"/>
    </row>
    <row r="292" spans="12:13" s="52" customFormat="1">
      <c r="L292" s="53"/>
      <c r="M292" s="54"/>
    </row>
    <row r="293" spans="12:13" s="52" customFormat="1">
      <c r="L293" s="53"/>
      <c r="M293" s="54"/>
    </row>
    <row r="294" spans="12:13" s="52" customFormat="1">
      <c r="L294" s="53"/>
      <c r="M294" s="54"/>
    </row>
    <row r="295" spans="12:13" s="52" customFormat="1">
      <c r="L295" s="53"/>
      <c r="M295" s="54"/>
    </row>
    <row r="296" spans="12:13" s="52" customFormat="1">
      <c r="L296" s="53"/>
      <c r="M296" s="54"/>
    </row>
    <row r="297" spans="12:13" s="52" customFormat="1">
      <c r="L297" s="53"/>
      <c r="M297" s="54"/>
    </row>
    <row r="298" spans="12:13" s="52" customFormat="1">
      <c r="L298" s="53"/>
      <c r="M298" s="54"/>
    </row>
    <row r="299" spans="12:13" s="52" customFormat="1">
      <c r="L299" s="53"/>
      <c r="M299" s="54"/>
    </row>
    <row r="300" spans="12:13" s="52" customFormat="1">
      <c r="L300" s="53"/>
      <c r="M300" s="54"/>
    </row>
    <row r="301" spans="12:13" s="52" customFormat="1">
      <c r="L301" s="53"/>
      <c r="M301" s="54"/>
    </row>
    <row r="302" spans="12:13" s="52" customFormat="1">
      <c r="L302" s="53"/>
      <c r="M302" s="54"/>
    </row>
    <row r="303" spans="12:13" s="52" customFormat="1">
      <c r="L303" s="53"/>
      <c r="M303" s="54"/>
    </row>
    <row r="304" spans="12:13" s="52" customFormat="1">
      <c r="L304" s="53"/>
      <c r="M304" s="54"/>
    </row>
    <row r="305" spans="12:13" s="52" customFormat="1">
      <c r="L305" s="53"/>
      <c r="M305" s="54"/>
    </row>
    <row r="306" spans="12:13" s="52" customFormat="1">
      <c r="L306" s="53"/>
      <c r="M306" s="54"/>
    </row>
    <row r="307" spans="12:13" s="52" customFormat="1">
      <c r="L307" s="53"/>
      <c r="M307" s="54"/>
    </row>
    <row r="308" spans="12:13" s="52" customFormat="1">
      <c r="L308" s="53"/>
      <c r="M308" s="54"/>
    </row>
    <row r="309" spans="12:13" s="52" customFormat="1">
      <c r="L309" s="53"/>
      <c r="M309" s="54"/>
    </row>
    <row r="310" spans="12:13" s="52" customFormat="1">
      <c r="L310" s="53"/>
      <c r="M310" s="54"/>
    </row>
    <row r="311" spans="12:13" s="52" customFormat="1">
      <c r="L311" s="53"/>
      <c r="M311" s="54"/>
    </row>
    <row r="312" spans="12:13" s="52" customFormat="1">
      <c r="L312" s="53"/>
      <c r="M312" s="54"/>
    </row>
    <row r="313" spans="12:13" s="52" customFormat="1">
      <c r="L313" s="53"/>
      <c r="M313" s="54"/>
    </row>
    <row r="314" spans="12:13" s="52" customFormat="1">
      <c r="L314" s="53"/>
      <c r="M314" s="54"/>
    </row>
    <row r="315" spans="12:13" s="52" customFormat="1">
      <c r="L315" s="53"/>
      <c r="M315" s="54"/>
    </row>
    <row r="316" spans="12:13" s="52" customFormat="1">
      <c r="L316" s="53"/>
      <c r="M316" s="54"/>
    </row>
    <row r="317" spans="12:13" s="52" customFormat="1">
      <c r="L317" s="53"/>
      <c r="M317" s="54"/>
    </row>
    <row r="318" spans="12:13" s="52" customFormat="1">
      <c r="L318" s="53"/>
      <c r="M318" s="54"/>
    </row>
    <row r="319" spans="12:13" s="52" customFormat="1">
      <c r="L319" s="53"/>
      <c r="M319" s="54"/>
    </row>
    <row r="320" spans="12:13" s="52" customFormat="1">
      <c r="L320" s="53"/>
      <c r="M320" s="54"/>
    </row>
    <row r="321" spans="12:13" s="52" customFormat="1">
      <c r="L321" s="53"/>
      <c r="M321" s="54"/>
    </row>
    <row r="322" spans="12:13" s="52" customFormat="1">
      <c r="L322" s="53"/>
      <c r="M322" s="54"/>
    </row>
    <row r="323" spans="12:13" s="52" customFormat="1">
      <c r="L323" s="53"/>
      <c r="M323" s="54"/>
    </row>
    <row r="324" spans="12:13" s="52" customFormat="1">
      <c r="L324" s="53"/>
      <c r="M324" s="54"/>
    </row>
    <row r="325" spans="12:13" s="52" customFormat="1">
      <c r="L325" s="53"/>
      <c r="M325" s="54"/>
    </row>
    <row r="326" spans="12:13" s="52" customFormat="1">
      <c r="L326" s="53"/>
      <c r="M326" s="54"/>
    </row>
    <row r="327" spans="12:13" s="52" customFormat="1">
      <c r="L327" s="53"/>
      <c r="M327" s="54"/>
    </row>
    <row r="328" spans="12:13" s="52" customFormat="1">
      <c r="L328" s="53"/>
      <c r="M328" s="54"/>
    </row>
    <row r="329" spans="12:13" s="52" customFormat="1">
      <c r="L329" s="53"/>
      <c r="M329" s="54"/>
    </row>
    <row r="330" spans="12:13" s="52" customFormat="1">
      <c r="L330" s="53"/>
      <c r="M330" s="54"/>
    </row>
    <row r="331" spans="12:13" s="52" customFormat="1">
      <c r="L331" s="53"/>
      <c r="M331" s="54"/>
    </row>
    <row r="332" spans="12:13" s="52" customFormat="1">
      <c r="L332" s="53"/>
      <c r="M332" s="54"/>
    </row>
    <row r="333" spans="12:13" s="52" customFormat="1">
      <c r="L333" s="53"/>
      <c r="M333" s="54"/>
    </row>
    <row r="334" spans="12:13" s="52" customFormat="1">
      <c r="L334" s="53"/>
      <c r="M334" s="54"/>
    </row>
    <row r="335" spans="12:13" s="52" customFormat="1">
      <c r="L335" s="53"/>
      <c r="M335" s="54"/>
    </row>
    <row r="336" spans="12:13" s="52" customFormat="1">
      <c r="L336" s="53"/>
      <c r="M336" s="54"/>
    </row>
    <row r="337" spans="12:13" s="52" customFormat="1">
      <c r="L337" s="53"/>
      <c r="M337" s="54"/>
    </row>
    <row r="338" spans="12:13" s="52" customFormat="1">
      <c r="L338" s="53"/>
      <c r="M338" s="54"/>
    </row>
    <row r="339" spans="12:13" s="52" customFormat="1">
      <c r="L339" s="53"/>
      <c r="M339" s="54"/>
    </row>
    <row r="340" spans="12:13" s="52" customFormat="1">
      <c r="L340" s="53"/>
      <c r="M340" s="54"/>
    </row>
    <row r="341" spans="12:13" s="52" customFormat="1">
      <c r="L341" s="53"/>
      <c r="M341" s="54"/>
    </row>
    <row r="342" spans="12:13" s="52" customFormat="1">
      <c r="L342" s="53"/>
      <c r="M342" s="54"/>
    </row>
    <row r="343" spans="12:13" s="52" customFormat="1">
      <c r="L343" s="53"/>
      <c r="M343" s="54"/>
    </row>
    <row r="344" spans="12:13" s="52" customFormat="1">
      <c r="L344" s="53"/>
      <c r="M344" s="54"/>
    </row>
    <row r="345" spans="12:13" s="52" customFormat="1">
      <c r="L345" s="53"/>
      <c r="M345" s="54"/>
    </row>
    <row r="346" spans="12:13" s="52" customFormat="1">
      <c r="L346" s="53"/>
      <c r="M346" s="54"/>
    </row>
    <row r="347" spans="12:13" s="52" customFormat="1">
      <c r="L347" s="53"/>
      <c r="M347" s="54"/>
    </row>
    <row r="348" spans="12:13" s="52" customFormat="1">
      <c r="L348" s="53"/>
      <c r="M348" s="54"/>
    </row>
    <row r="349" spans="12:13" s="52" customFormat="1">
      <c r="L349" s="53"/>
      <c r="M349" s="54"/>
    </row>
    <row r="350" spans="12:13" s="52" customFormat="1">
      <c r="L350" s="53"/>
      <c r="M350" s="54"/>
    </row>
    <row r="351" spans="12:13" s="52" customFormat="1">
      <c r="L351" s="53"/>
      <c r="M351" s="54"/>
    </row>
    <row r="352" spans="12:13" s="52" customFormat="1">
      <c r="L352" s="53"/>
      <c r="M352" s="54"/>
    </row>
    <row r="353" spans="12:13" s="52" customFormat="1">
      <c r="L353" s="53"/>
      <c r="M353" s="54"/>
    </row>
    <row r="354" spans="12:13" s="52" customFormat="1">
      <c r="L354" s="53"/>
      <c r="M354" s="54"/>
    </row>
    <row r="355" spans="12:13" s="52" customFormat="1">
      <c r="L355" s="53"/>
      <c r="M355" s="54"/>
    </row>
    <row r="356" spans="12:13" s="52" customFormat="1">
      <c r="L356" s="53"/>
      <c r="M356" s="54"/>
    </row>
    <row r="357" spans="12:13" s="52" customFormat="1">
      <c r="L357" s="53"/>
      <c r="M357" s="54"/>
    </row>
    <row r="358" spans="12:13" s="52" customFormat="1">
      <c r="L358" s="53"/>
      <c r="M358" s="54"/>
    </row>
    <row r="359" spans="12:13" s="52" customFormat="1">
      <c r="L359" s="53"/>
      <c r="M359" s="54"/>
    </row>
    <row r="360" spans="12:13" s="52" customFormat="1">
      <c r="L360" s="53"/>
      <c r="M360" s="54"/>
    </row>
    <row r="361" spans="12:13" s="52" customFormat="1">
      <c r="L361" s="53"/>
      <c r="M361" s="54"/>
    </row>
    <row r="362" spans="12:13" s="52" customFormat="1">
      <c r="L362" s="53"/>
      <c r="M362" s="54"/>
    </row>
    <row r="363" spans="12:13" s="52" customFormat="1">
      <c r="L363" s="53"/>
      <c r="M363" s="54"/>
    </row>
    <row r="364" spans="12:13" s="52" customFormat="1">
      <c r="L364" s="53"/>
      <c r="M364" s="54"/>
    </row>
    <row r="365" spans="12:13" s="52" customFormat="1">
      <c r="L365" s="53"/>
      <c r="M365" s="54"/>
    </row>
    <row r="366" spans="12:13" s="52" customFormat="1">
      <c r="L366" s="53"/>
      <c r="M366" s="54"/>
    </row>
    <row r="367" spans="12:13" s="52" customFormat="1">
      <c r="L367" s="53"/>
      <c r="M367" s="54"/>
    </row>
    <row r="368" spans="12:13" s="52" customFormat="1">
      <c r="L368" s="53"/>
      <c r="M368" s="54"/>
    </row>
    <row r="369" spans="12:13" s="52" customFormat="1">
      <c r="L369" s="53"/>
      <c r="M369" s="54"/>
    </row>
    <row r="370" spans="12:13" s="52" customFormat="1">
      <c r="L370" s="53"/>
      <c r="M370" s="54"/>
    </row>
    <row r="371" spans="12:13" s="52" customFormat="1">
      <c r="L371" s="53"/>
      <c r="M371" s="54"/>
    </row>
    <row r="372" spans="12:13" s="52" customFormat="1">
      <c r="L372" s="53"/>
      <c r="M372" s="54"/>
    </row>
    <row r="373" spans="12:13" s="52" customFormat="1">
      <c r="L373" s="53"/>
      <c r="M373" s="54"/>
    </row>
    <row r="374" spans="12:13" s="52" customFormat="1">
      <c r="L374" s="53"/>
      <c r="M374" s="54"/>
    </row>
    <row r="375" spans="12:13" s="52" customFormat="1">
      <c r="L375" s="53"/>
      <c r="M375" s="54"/>
    </row>
    <row r="376" spans="12:13" s="52" customFormat="1">
      <c r="L376" s="53"/>
      <c r="M376" s="54"/>
    </row>
    <row r="377" spans="12:13" s="52" customFormat="1">
      <c r="L377" s="53"/>
      <c r="M377" s="54"/>
    </row>
    <row r="378" spans="12:13" s="52" customFormat="1">
      <c r="L378" s="53"/>
      <c r="M378" s="54"/>
    </row>
    <row r="379" spans="12:13" s="52" customFormat="1">
      <c r="L379" s="53"/>
      <c r="M379" s="54"/>
    </row>
    <row r="380" spans="12:13" s="52" customFormat="1">
      <c r="L380" s="53"/>
      <c r="M380" s="54"/>
    </row>
    <row r="381" spans="12:13" s="52" customFormat="1">
      <c r="L381" s="53"/>
      <c r="M381" s="54"/>
    </row>
    <row r="382" spans="12:13" s="52" customFormat="1">
      <c r="L382" s="53"/>
      <c r="M382" s="54"/>
    </row>
    <row r="383" spans="12:13" s="52" customFormat="1">
      <c r="L383" s="53"/>
      <c r="M383" s="54"/>
    </row>
    <row r="384" spans="12:13" s="52" customFormat="1">
      <c r="L384" s="53"/>
      <c r="M384" s="54"/>
    </row>
    <row r="385" spans="12:13" s="52" customFormat="1">
      <c r="L385" s="53"/>
      <c r="M385" s="54"/>
    </row>
    <row r="386" spans="12:13" s="52" customFormat="1">
      <c r="L386" s="53"/>
      <c r="M386" s="54"/>
    </row>
    <row r="387" spans="12:13" s="52" customFormat="1">
      <c r="L387" s="53"/>
      <c r="M387" s="54"/>
    </row>
    <row r="388" spans="12:13" s="52" customFormat="1">
      <c r="L388" s="53"/>
      <c r="M388" s="54"/>
    </row>
    <row r="389" spans="12:13" s="52" customFormat="1">
      <c r="L389" s="53"/>
      <c r="M389" s="54"/>
    </row>
    <row r="390" spans="12:13" s="52" customFormat="1">
      <c r="L390" s="53"/>
      <c r="M390" s="54"/>
    </row>
    <row r="391" spans="12:13" s="52" customFormat="1">
      <c r="L391" s="53"/>
      <c r="M391" s="54"/>
    </row>
    <row r="392" spans="12:13" s="52" customFormat="1">
      <c r="L392" s="53"/>
      <c r="M392" s="54"/>
    </row>
    <row r="393" spans="12:13" s="52" customFormat="1">
      <c r="L393" s="53"/>
      <c r="M393" s="54"/>
    </row>
    <row r="394" spans="12:13" s="52" customFormat="1">
      <c r="L394" s="53"/>
      <c r="M394" s="54"/>
    </row>
    <row r="395" spans="12:13" s="52" customFormat="1">
      <c r="L395" s="53"/>
      <c r="M395" s="54"/>
    </row>
    <row r="396" spans="12:13" s="52" customFormat="1">
      <c r="L396" s="53"/>
      <c r="M396" s="54"/>
    </row>
    <row r="397" spans="12:13" s="52" customFormat="1">
      <c r="L397" s="53"/>
      <c r="M397" s="54"/>
    </row>
    <row r="398" spans="12:13" s="52" customFormat="1">
      <c r="L398" s="53"/>
      <c r="M398" s="54"/>
    </row>
    <row r="399" spans="12:13" s="52" customFormat="1">
      <c r="L399" s="53"/>
      <c r="M399" s="54"/>
    </row>
    <row r="400" spans="12:13" s="52" customFormat="1">
      <c r="L400" s="53"/>
      <c r="M400" s="54"/>
    </row>
    <row r="401" spans="12:13" s="52" customFormat="1">
      <c r="L401" s="53"/>
      <c r="M401" s="54"/>
    </row>
    <row r="402" spans="12:13" s="52" customFormat="1">
      <c r="L402" s="53"/>
      <c r="M402" s="54"/>
    </row>
    <row r="403" spans="12:13" s="52" customFormat="1">
      <c r="L403" s="53"/>
      <c r="M403" s="54"/>
    </row>
    <row r="404" spans="12:13" s="52" customFormat="1">
      <c r="L404" s="53"/>
      <c r="M404" s="54"/>
    </row>
    <row r="405" spans="12:13" s="52" customFormat="1">
      <c r="L405" s="53"/>
      <c r="M405" s="54"/>
    </row>
    <row r="406" spans="12:13" s="52" customFormat="1">
      <c r="L406" s="53"/>
      <c r="M406" s="54"/>
    </row>
    <row r="407" spans="12:13" s="52" customFormat="1">
      <c r="L407" s="53"/>
      <c r="M407" s="54"/>
    </row>
    <row r="408" spans="12:13" s="52" customFormat="1">
      <c r="L408" s="53"/>
      <c r="M408" s="54"/>
    </row>
    <row r="409" spans="12:13" s="52" customFormat="1">
      <c r="L409" s="53"/>
      <c r="M409" s="54"/>
    </row>
    <row r="410" spans="12:13" s="52" customFormat="1">
      <c r="L410" s="53"/>
      <c r="M410" s="54"/>
    </row>
    <row r="411" spans="12:13" s="52" customFormat="1">
      <c r="L411" s="53"/>
      <c r="M411" s="54"/>
    </row>
    <row r="412" spans="12:13" s="52" customFormat="1">
      <c r="L412" s="53"/>
      <c r="M412" s="54"/>
    </row>
    <row r="413" spans="12:13" s="52" customFormat="1">
      <c r="L413" s="53"/>
      <c r="M413" s="54"/>
    </row>
    <row r="414" spans="12:13" s="52" customFormat="1">
      <c r="L414" s="53"/>
      <c r="M414" s="54"/>
    </row>
    <row r="415" spans="12:13" s="52" customFormat="1">
      <c r="L415" s="53"/>
      <c r="M415" s="54"/>
    </row>
    <row r="416" spans="12:13" s="52" customFormat="1">
      <c r="L416" s="53"/>
      <c r="M416" s="54"/>
    </row>
    <row r="417" spans="12:13" s="52" customFormat="1">
      <c r="L417" s="53"/>
      <c r="M417" s="54"/>
    </row>
    <row r="418" spans="12:13" s="52" customFormat="1">
      <c r="L418" s="53"/>
      <c r="M418" s="54"/>
    </row>
    <row r="419" spans="12:13" s="52" customFormat="1">
      <c r="L419" s="53"/>
      <c r="M419" s="54"/>
    </row>
    <row r="420" spans="12:13" s="52" customFormat="1">
      <c r="L420" s="53"/>
      <c r="M420" s="54"/>
    </row>
    <row r="421" spans="12:13" s="52" customFormat="1">
      <c r="L421" s="53"/>
      <c r="M421" s="54"/>
    </row>
    <row r="422" spans="12:13" s="52" customFormat="1">
      <c r="L422" s="53"/>
      <c r="M422" s="54"/>
    </row>
    <row r="423" spans="12:13" s="52" customFormat="1">
      <c r="L423" s="53"/>
      <c r="M423" s="54"/>
    </row>
    <row r="424" spans="12:13" s="52" customFormat="1">
      <c r="L424" s="53"/>
      <c r="M424" s="54"/>
    </row>
    <row r="425" spans="12:13" s="52" customFormat="1">
      <c r="L425" s="53"/>
      <c r="M425" s="54"/>
    </row>
    <row r="426" spans="12:13" s="52" customFormat="1">
      <c r="L426" s="53"/>
      <c r="M426" s="54"/>
    </row>
    <row r="427" spans="12:13" s="52" customFormat="1">
      <c r="L427" s="53"/>
      <c r="M427" s="54"/>
    </row>
    <row r="428" spans="12:13" s="52" customFormat="1">
      <c r="L428" s="53"/>
      <c r="M428" s="54"/>
    </row>
    <row r="429" spans="12:13" s="52" customFormat="1">
      <c r="L429" s="53"/>
      <c r="M429" s="54"/>
    </row>
    <row r="430" spans="12:13" s="52" customFormat="1">
      <c r="L430" s="53"/>
      <c r="M430" s="54"/>
    </row>
    <row r="431" spans="12:13" s="52" customFormat="1">
      <c r="L431" s="53"/>
      <c r="M431" s="54"/>
    </row>
    <row r="432" spans="12:13" s="52" customFormat="1">
      <c r="L432" s="53"/>
      <c r="M432" s="54"/>
    </row>
    <row r="433" spans="12:121" s="52" customFormat="1">
      <c r="L433" s="53"/>
      <c r="M433" s="54"/>
    </row>
    <row r="434" spans="12:121" s="52" customFormat="1">
      <c r="L434" s="53"/>
      <c r="M434" s="54"/>
    </row>
    <row r="435" spans="12:121" s="52" customFormat="1">
      <c r="L435" s="53"/>
      <c r="M435" s="54"/>
    </row>
    <row r="436" spans="12:121" s="52" customFormat="1">
      <c r="L436" s="53"/>
      <c r="M436" s="54"/>
    </row>
    <row r="437" spans="12:121" s="52" customFormat="1">
      <c r="L437" s="53"/>
      <c r="M437" s="54"/>
    </row>
    <row r="438" spans="12:121" s="52" customFormat="1">
      <c r="L438" s="53"/>
      <c r="M438" s="54"/>
    </row>
    <row r="439" spans="12:121" s="52" customFormat="1">
      <c r="L439" s="53"/>
      <c r="M439" s="54"/>
    </row>
    <row r="440" spans="12:121" s="52" customFormat="1">
      <c r="L440" s="53"/>
      <c r="M440" s="54"/>
    </row>
    <row r="441" spans="12:121" s="52" customFormat="1">
      <c r="L441" s="53"/>
      <c r="M441" s="54"/>
    </row>
    <row r="442" spans="12:121" s="52" customFormat="1">
      <c r="L442" s="53"/>
      <c r="M442" s="54"/>
    </row>
    <row r="443" spans="12:121" s="52" customFormat="1">
      <c r="L443" s="53"/>
      <c r="M443" s="54"/>
    </row>
    <row r="444" spans="12:121" s="52" customFormat="1">
      <c r="L444" s="53"/>
      <c r="M444" s="54"/>
    </row>
    <row r="445" spans="12:121" s="52" customFormat="1">
      <c r="L445" s="53"/>
      <c r="M445" s="54"/>
      <c r="DP445" s="58"/>
      <c r="DQ445" s="58"/>
    </row>
  </sheetData>
  <sheetProtection algorithmName="SHA-512" hashValue="qpxcIByQjj0jrndc8urlNpDFj303rkpMSRtS7474iANNNkT9M/UeU3GeTckzAb5gefTlFlfWgD9NaALne2q4tA==" saltValue="hwpBUUAftX8L37BpyRnYCA==" spinCount="100000" sheet="1" formatCells="0" formatColumns="0" formatRows="0"/>
  <mergeCells count="13">
    <mergeCell ref="B144:C144"/>
    <mergeCell ref="B205:L205"/>
    <mergeCell ref="B206:L206"/>
    <mergeCell ref="B207:L207"/>
    <mergeCell ref="B30:J30"/>
    <mergeCell ref="B25:J25"/>
    <mergeCell ref="B26:J26"/>
    <mergeCell ref="B27:J27"/>
    <mergeCell ref="B2:D2"/>
    <mergeCell ref="B4:F4"/>
    <mergeCell ref="B10:G10"/>
    <mergeCell ref="B12:G12"/>
    <mergeCell ref="B17:I17"/>
  </mergeCells>
  <dataValidations count="2">
    <dataValidation type="list" allowBlank="1" showInputMessage="1" showErrorMessage="1" sqref="F44" xr:uid="{86F4460C-0B28-4730-83D0-F961633DC61B}">
      <formula1>Select_units</formula1>
    </dataValidation>
    <dataValidation type="list" allowBlank="1" showInputMessage="1" showErrorMessage="1" sqref="D62" xr:uid="{CA38F8E2-D042-42B6-A2D9-529A02A2D3CB}">
      <formula1>Napp_teat_select</formula1>
    </dataValidation>
  </dataValidations>
  <hyperlinks>
    <hyperlink ref="B7" location="'PT 3-vet hyg non med teat dip'!Input" display="Input table" xr:uid="{EF00438D-9BFA-4CB2-A1D1-21E9893CAB7B}"/>
    <hyperlink ref="B8" location="'PT 3-vet hyg non med teat dip'!Intermediate_calculations" display="Intermediate calculations" xr:uid="{E6EEE1A6-5A39-4829-8B67-6EF508557EFE}"/>
    <hyperlink ref="B9" location="'PT 3-vet hyg non med teat dip'!Output" display="Output table" xr:uid="{7647AE39-CA68-42DE-A7B0-D46081A73865}"/>
    <hyperlink ref="B10:G10" location="'PT 3-vet hyg non med teat dip'!Soil___arable_land" display="    Soil - arable land" xr:uid="{C7B00A7F-A278-48EF-995E-1AA51BE813FE}"/>
    <hyperlink ref="B12:G12" location="'PT 3-vet hyg non med teat dip'!Soil___grassland" display="    Soil - grassland" xr:uid="{960AD73B-6B82-4A9F-8E8C-E806CF2EDE04}"/>
    <hyperlink ref="B11" location="'PT 3-vet hyg non med teat dip'!Groundwater_and_surface_water_ar" display="    Groundwater and surface water - in arable land areas" xr:uid="{F9B54793-A95A-47D9-BD3E-7618F6BD5E3B}"/>
    <hyperlink ref="B13" location="'PT 3-vet hyg non med teat dip'!Groundwater_and_surface_water_gr" display="    Groundwater and surface water - in grassland areas" xr:uid="{45A83CEA-061D-4EAA-AE13-63EC1B54825E}"/>
    <hyperlink ref="B14" location="'PT 3-vet hyg non med teat dip'!STP" display="    STP" xr:uid="{75C2365B-EF74-469D-A7B8-BA5D5BDE6F2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E8F0-6B65-44AA-9EEB-C94A0C0F3BBE}">
  <dimension ref="A1:DQ436"/>
  <sheetViews>
    <sheetView zoomScaleNormal="100" workbookViewId="0"/>
  </sheetViews>
  <sheetFormatPr defaultColWidth="8.7265625" defaultRowHeight="12.6"/>
  <cols>
    <col min="1" max="1" width="1.6328125" style="52" customWidth="1"/>
    <col min="2" max="2" width="50.6328125" style="58" customWidth="1"/>
    <col min="3" max="3" width="35.6328125" style="58" customWidth="1"/>
    <col min="4" max="4" width="80.6328125" style="58" customWidth="1"/>
    <col min="5" max="5" width="10.6328125" style="58" customWidth="1"/>
    <col min="6" max="6" width="15.6328125" style="58" customWidth="1"/>
    <col min="7" max="7" width="1.6328125" style="58" customWidth="1"/>
    <col min="8" max="8" width="15.6328125" style="58" customWidth="1"/>
    <col min="9" max="11" width="12.90625" style="58" customWidth="1"/>
    <col min="12" max="12" width="12.90625" style="140" customWidth="1"/>
    <col min="13" max="13" width="12.90625" style="54" customWidth="1"/>
    <col min="14" max="28" width="12.90625" style="52" customWidth="1"/>
    <col min="29" max="119" width="8.7265625" style="52"/>
    <col min="120" max="16384" width="8.7265625" style="58"/>
  </cols>
  <sheetData>
    <row r="1" spans="1:28" s="52" customFormat="1">
      <c r="L1" s="53"/>
      <c r="M1" s="54"/>
    </row>
    <row r="2" spans="1:28" ht="19.8">
      <c r="A2" s="55"/>
      <c r="B2" s="491" t="s">
        <v>191</v>
      </c>
      <c r="C2" s="491"/>
      <c r="D2" s="491"/>
      <c r="E2" s="56"/>
      <c r="F2" s="56"/>
      <c r="G2" s="56"/>
      <c r="H2" s="56"/>
      <c r="I2" s="56"/>
      <c r="J2" s="56"/>
      <c r="K2" s="56"/>
      <c r="L2" s="57"/>
    </row>
    <row r="3" spans="1:28" ht="13.2">
      <c r="A3" s="55"/>
      <c r="B3" s="59"/>
      <c r="C3" s="59"/>
      <c r="D3" s="55"/>
      <c r="E3" s="55"/>
      <c r="F3" s="55"/>
      <c r="G3" s="55"/>
      <c r="H3" s="55"/>
      <c r="I3" s="55"/>
      <c r="J3" s="55"/>
      <c r="K3" s="55"/>
      <c r="L3" s="57"/>
    </row>
    <row r="4" spans="1:28" ht="13.2">
      <c r="A4" s="55"/>
      <c r="B4" s="59"/>
      <c r="C4" s="59"/>
      <c r="D4" s="55"/>
      <c r="E4" s="55"/>
      <c r="F4" s="55"/>
      <c r="G4" s="55"/>
      <c r="H4" s="55"/>
      <c r="I4" s="55"/>
      <c r="J4" s="55"/>
      <c r="K4" s="55"/>
      <c r="L4" s="57"/>
    </row>
    <row r="5" spans="1:28" ht="17.399999999999999">
      <c r="A5" s="55"/>
      <c r="B5" s="492" t="s">
        <v>348</v>
      </c>
      <c r="C5" s="492"/>
      <c r="D5" s="492"/>
      <c r="E5" s="492"/>
      <c r="F5" s="492"/>
      <c r="G5" s="303"/>
      <c r="H5" s="60"/>
      <c r="I5" s="60"/>
      <c r="J5" s="60"/>
      <c r="K5" s="61"/>
      <c r="L5" s="61"/>
      <c r="M5" s="61"/>
      <c r="N5" s="61"/>
      <c r="O5" s="61"/>
      <c r="P5" s="61"/>
      <c r="Q5" s="61"/>
      <c r="R5" s="61"/>
      <c r="S5" s="61"/>
      <c r="T5" s="61"/>
      <c r="U5" s="61"/>
      <c r="V5" s="61"/>
      <c r="W5" s="61"/>
      <c r="X5" s="61"/>
      <c r="Y5" s="61"/>
      <c r="Z5" s="61"/>
      <c r="AA5" s="61"/>
      <c r="AB5" s="61"/>
    </row>
    <row r="6" spans="1:28" ht="16.2">
      <c r="A6" s="55"/>
      <c r="B6" s="62"/>
      <c r="C6" s="62"/>
      <c r="D6" s="63"/>
      <c r="E6" s="63"/>
      <c r="F6" s="63"/>
      <c r="G6" s="63"/>
      <c r="H6" s="63"/>
      <c r="I6" s="63"/>
      <c r="J6" s="63"/>
      <c r="K6" s="55"/>
      <c r="L6" s="55"/>
    </row>
    <row r="7" spans="1:28" s="52" customFormat="1" ht="14.25" customHeight="1">
      <c r="A7" s="55"/>
      <c r="B7" s="310" t="s">
        <v>118</v>
      </c>
      <c r="C7" s="49"/>
      <c r="D7" s="49"/>
      <c r="E7" s="49"/>
      <c r="F7" s="49"/>
      <c r="G7" s="158"/>
      <c r="H7" s="158"/>
      <c r="I7" s="64"/>
      <c r="J7" s="64"/>
      <c r="K7" s="64"/>
      <c r="L7" s="64"/>
      <c r="M7" s="54"/>
    </row>
    <row r="8" spans="1:28" s="52" customFormat="1" ht="14.25" customHeight="1">
      <c r="A8" s="55"/>
      <c r="B8" s="309" t="s">
        <v>119</v>
      </c>
      <c r="C8" s="158"/>
      <c r="D8" s="158"/>
      <c r="E8" s="158"/>
      <c r="F8" s="158"/>
      <c r="G8" s="158"/>
      <c r="H8" s="158"/>
      <c r="I8" s="64"/>
      <c r="J8" s="64"/>
      <c r="K8" s="64"/>
      <c r="L8" s="64"/>
      <c r="M8" s="54"/>
    </row>
    <row r="9" spans="1:28" s="52" customFormat="1" ht="14.25" customHeight="1">
      <c r="A9" s="55"/>
      <c r="B9" s="309" t="s">
        <v>49</v>
      </c>
      <c r="C9" s="158"/>
      <c r="D9" s="158"/>
      <c r="E9" s="158"/>
      <c r="F9" s="158"/>
      <c r="G9" s="158"/>
      <c r="H9" s="158"/>
      <c r="I9" s="64"/>
      <c r="J9" s="64"/>
      <c r="K9" s="64"/>
      <c r="L9" s="64"/>
      <c r="M9" s="54"/>
    </row>
    <row r="10" spans="1:28" s="52" customFormat="1" ht="14.25" customHeight="1">
      <c r="A10" s="55"/>
      <c r="B10" s="309" t="s">
        <v>120</v>
      </c>
      <c r="C10" s="158"/>
      <c r="D10" s="158"/>
      <c r="E10" s="158"/>
      <c r="F10" s="158"/>
      <c r="G10" s="158"/>
      <c r="H10" s="158"/>
      <c r="I10" s="64"/>
      <c r="J10" s="64"/>
      <c r="K10" s="64"/>
      <c r="L10" s="64"/>
      <c r="M10" s="54"/>
    </row>
    <row r="11" spans="1:28" s="52" customFormat="1" ht="14.25" customHeight="1">
      <c r="A11" s="55"/>
      <c r="B11" s="496" t="s">
        <v>121</v>
      </c>
      <c r="C11" s="496"/>
      <c r="D11" s="496"/>
      <c r="E11" s="496"/>
      <c r="F11" s="496"/>
      <c r="G11" s="496"/>
      <c r="H11" s="158"/>
      <c r="I11" s="64"/>
      <c r="J11" s="64"/>
      <c r="K11" s="64"/>
      <c r="L11" s="64"/>
      <c r="M11" s="54"/>
    </row>
    <row r="12" spans="1:28" s="52" customFormat="1" ht="14.25" customHeight="1">
      <c r="A12" s="55"/>
      <c r="B12" s="309" t="s">
        <v>323</v>
      </c>
      <c r="C12" s="65"/>
      <c r="D12" s="65"/>
      <c r="E12" s="65"/>
      <c r="F12" s="65"/>
      <c r="G12" s="65"/>
      <c r="H12" s="158"/>
      <c r="I12" s="64"/>
      <c r="J12" s="64"/>
      <c r="K12" s="64"/>
      <c r="L12" s="64"/>
      <c r="M12" s="54"/>
    </row>
    <row r="13" spans="1:28" s="52" customFormat="1" ht="14.25" customHeight="1">
      <c r="A13" s="55"/>
      <c r="B13" s="496" t="s">
        <v>122</v>
      </c>
      <c r="C13" s="496"/>
      <c r="D13" s="496"/>
      <c r="E13" s="496"/>
      <c r="F13" s="496"/>
      <c r="G13" s="496"/>
      <c r="H13" s="158"/>
      <c r="I13" s="64"/>
      <c r="J13" s="64"/>
      <c r="K13" s="64"/>
      <c r="L13" s="64"/>
      <c r="M13" s="54"/>
    </row>
    <row r="14" spans="1:28" s="52" customFormat="1" ht="14.25" customHeight="1">
      <c r="A14" s="55"/>
      <c r="B14" s="309" t="s">
        <v>324</v>
      </c>
      <c r="C14" s="65"/>
      <c r="D14" s="65"/>
      <c r="E14" s="65"/>
      <c r="F14" s="65"/>
      <c r="G14" s="65"/>
      <c r="H14" s="158"/>
      <c r="I14" s="64"/>
      <c r="J14" s="64"/>
      <c r="K14" s="64"/>
      <c r="L14" s="64"/>
      <c r="M14" s="54"/>
    </row>
    <row r="15" spans="1:28" s="52" customFormat="1" ht="14.25" customHeight="1">
      <c r="A15" s="55"/>
      <c r="B15" s="309" t="s">
        <v>123</v>
      </c>
      <c r="C15" s="65"/>
      <c r="D15" s="65"/>
      <c r="E15" s="65"/>
      <c r="F15" s="65"/>
      <c r="G15" s="65"/>
      <c r="H15" s="158"/>
      <c r="I15" s="64"/>
      <c r="J15" s="64"/>
      <c r="K15" s="64"/>
      <c r="L15" s="64"/>
      <c r="M15" s="54"/>
    </row>
    <row r="16" spans="1:28" s="52" customFormat="1" ht="14.25" customHeight="1">
      <c r="A16" s="55"/>
      <c r="B16" s="65"/>
      <c r="C16" s="311"/>
      <c r="D16" s="311"/>
      <c r="E16" s="311"/>
      <c r="F16" s="311"/>
      <c r="G16" s="311"/>
      <c r="H16" s="158"/>
      <c r="I16" s="64"/>
      <c r="J16" s="64"/>
      <c r="K16" s="64"/>
      <c r="L16" s="64"/>
      <c r="M16" s="54"/>
    </row>
    <row r="17" spans="1:120" s="67" customFormat="1" ht="13.8">
      <c r="A17" s="66"/>
      <c r="B17" s="68" t="s">
        <v>125</v>
      </c>
      <c r="C17" s="69"/>
      <c r="D17" s="69"/>
      <c r="E17" s="69"/>
      <c r="F17" s="70"/>
      <c r="G17" s="70"/>
      <c r="H17" s="70"/>
      <c r="I17" s="71"/>
      <c r="J17" s="71"/>
      <c r="K17" s="71"/>
      <c r="L17" s="71"/>
      <c r="M17" s="66"/>
      <c r="N17" s="66"/>
      <c r="O17" s="66"/>
      <c r="P17" s="66"/>
    </row>
    <row r="18" spans="1:120" s="72" customFormat="1" ht="13.8">
      <c r="B18" s="505" t="s">
        <v>124</v>
      </c>
      <c r="C18" s="505"/>
      <c r="D18" s="505"/>
      <c r="E18" s="505"/>
      <c r="F18" s="505"/>
      <c r="G18" s="505"/>
      <c r="H18" s="505"/>
      <c r="I18" s="505"/>
      <c r="J18" s="73"/>
      <c r="K18" s="73"/>
      <c r="L18" s="73"/>
      <c r="M18" s="74"/>
      <c r="N18" s="75"/>
    </row>
    <row r="19" spans="1:120" s="52" customFormat="1">
      <c r="A19" s="55"/>
      <c r="B19" s="55"/>
      <c r="C19" s="55"/>
      <c r="D19" s="55"/>
      <c r="E19" s="55"/>
      <c r="F19" s="55"/>
      <c r="G19" s="55"/>
      <c r="H19" s="55"/>
      <c r="I19" s="55"/>
      <c r="J19" s="55"/>
      <c r="K19" s="55"/>
      <c r="L19" s="57"/>
      <c r="M19" s="54"/>
    </row>
    <row r="20" spans="1:120">
      <c r="A20" s="55"/>
      <c r="B20" s="457" t="s">
        <v>55</v>
      </c>
      <c r="C20" s="76"/>
      <c r="D20" s="55"/>
      <c r="E20" s="55"/>
      <c r="F20" s="55"/>
      <c r="G20" s="55"/>
      <c r="H20" s="55"/>
      <c r="I20" s="55"/>
      <c r="J20" s="55"/>
      <c r="K20" s="55"/>
      <c r="L20" s="57"/>
    </row>
    <row r="21" spans="1:120">
      <c r="A21" s="55"/>
      <c r="B21" s="54" t="s">
        <v>54</v>
      </c>
      <c r="C21" s="54"/>
      <c r="D21" s="54"/>
      <c r="E21" s="54"/>
      <c r="F21" s="54"/>
      <c r="G21" s="54"/>
      <c r="H21" s="54"/>
      <c r="I21" s="54"/>
      <c r="J21" s="54"/>
      <c r="K21" s="78"/>
      <c r="L21" s="78"/>
      <c r="M21" s="78"/>
      <c r="N21" s="79"/>
      <c r="O21" s="55"/>
      <c r="P21" s="55"/>
      <c r="Q21" s="55"/>
      <c r="R21" s="55"/>
      <c r="S21" s="55"/>
      <c r="T21" s="55"/>
      <c r="U21" s="55"/>
      <c r="V21" s="55"/>
      <c r="W21" s="55"/>
      <c r="DP21" s="52"/>
    </row>
    <row r="22" spans="1:120">
      <c r="A22" s="55"/>
      <c r="B22" s="473" t="s">
        <v>584</v>
      </c>
      <c r="C22" s="474"/>
      <c r="D22" s="474"/>
      <c r="E22" s="474"/>
      <c r="F22" s="474"/>
      <c r="G22" s="474"/>
      <c r="H22" s="474"/>
      <c r="I22" s="474"/>
      <c r="J22" s="474"/>
      <c r="K22" s="78"/>
      <c r="L22" s="78"/>
      <c r="M22" s="78"/>
      <c r="N22" s="79"/>
      <c r="O22" s="55"/>
      <c r="P22" s="55"/>
      <c r="Q22" s="55"/>
      <c r="R22" s="55"/>
      <c r="S22" s="55"/>
      <c r="T22" s="55"/>
      <c r="U22" s="55"/>
      <c r="V22" s="55"/>
      <c r="W22" s="55"/>
      <c r="DP22" s="52"/>
    </row>
    <row r="23" spans="1:120" ht="13.8">
      <c r="A23" s="55"/>
      <c r="B23" s="473" t="s">
        <v>585</v>
      </c>
      <c r="C23" s="474"/>
      <c r="D23" s="474"/>
      <c r="E23" s="474"/>
      <c r="F23" s="474"/>
      <c r="G23" s="474"/>
      <c r="H23" s="474"/>
      <c r="I23" s="474"/>
      <c r="J23" s="474"/>
      <c r="K23" s="78"/>
      <c r="L23" s="78"/>
      <c r="M23" s="78"/>
      <c r="N23" s="79"/>
      <c r="O23" s="55"/>
      <c r="P23" s="55"/>
      <c r="Q23" s="55"/>
      <c r="R23" s="55"/>
      <c r="S23" s="55"/>
      <c r="T23" s="55"/>
      <c r="U23" s="55"/>
      <c r="V23" s="55"/>
      <c r="W23" s="55"/>
      <c r="DP23" s="52"/>
    </row>
    <row r="24" spans="1:120">
      <c r="A24" s="55"/>
      <c r="B24" s="473" t="s">
        <v>577</v>
      </c>
      <c r="C24" s="474"/>
      <c r="D24" s="474"/>
      <c r="E24" s="474"/>
      <c r="F24" s="474"/>
      <c r="G24" s="474"/>
      <c r="H24" s="474"/>
      <c r="I24" s="474"/>
      <c r="J24" s="474"/>
      <c r="K24" s="78"/>
      <c r="L24" s="78"/>
      <c r="M24" s="78"/>
      <c r="N24" s="79"/>
      <c r="O24" s="55"/>
      <c r="P24" s="55"/>
      <c r="Q24" s="55"/>
      <c r="R24" s="55"/>
      <c r="S24" s="55"/>
      <c r="T24" s="55"/>
      <c r="U24" s="55"/>
      <c r="V24" s="55"/>
      <c r="W24" s="55"/>
      <c r="DP24" s="52"/>
    </row>
    <row r="25" spans="1:120" ht="17.25" customHeight="1">
      <c r="A25" s="55"/>
      <c r="B25" s="473" t="s">
        <v>586</v>
      </c>
      <c r="C25" s="473"/>
      <c r="D25" s="473"/>
      <c r="E25" s="473"/>
      <c r="F25" s="473"/>
      <c r="G25" s="473"/>
      <c r="H25" s="473"/>
      <c r="I25" s="473"/>
      <c r="J25" s="473"/>
      <c r="K25" s="78"/>
      <c r="L25" s="78"/>
      <c r="M25" s="78"/>
      <c r="N25" s="79"/>
      <c r="O25" s="55"/>
      <c r="P25" s="55"/>
      <c r="Q25" s="55"/>
      <c r="R25" s="55"/>
      <c r="S25" s="55"/>
      <c r="T25" s="55"/>
      <c r="U25" s="55"/>
      <c r="V25" s="55"/>
      <c r="W25" s="55"/>
      <c r="DP25" s="52"/>
    </row>
    <row r="26" spans="1:120" ht="12.75" customHeight="1">
      <c r="A26" s="55"/>
      <c r="B26" s="499" t="s">
        <v>579</v>
      </c>
      <c r="C26" s="500"/>
      <c r="D26" s="500"/>
      <c r="E26" s="500"/>
      <c r="F26" s="500"/>
      <c r="G26" s="500"/>
      <c r="H26" s="500"/>
      <c r="I26" s="500"/>
      <c r="J26" s="500"/>
      <c r="K26" s="78"/>
      <c r="L26" s="78"/>
      <c r="M26" s="78"/>
      <c r="N26" s="79"/>
      <c r="O26" s="55"/>
      <c r="P26" s="55"/>
      <c r="Q26" s="55"/>
      <c r="R26" s="55"/>
      <c r="S26" s="55"/>
      <c r="T26" s="55"/>
      <c r="U26" s="55"/>
      <c r="V26" s="55"/>
      <c r="W26" s="55"/>
      <c r="DP26" s="52"/>
    </row>
    <row r="27" spans="1:120">
      <c r="A27" s="55"/>
      <c r="B27" s="473" t="s">
        <v>582</v>
      </c>
      <c r="C27" s="474"/>
      <c r="D27" s="474"/>
      <c r="E27" s="474"/>
      <c r="F27" s="474"/>
      <c r="G27" s="474"/>
      <c r="H27" s="474"/>
      <c r="I27" s="474"/>
      <c r="J27" s="474"/>
      <c r="K27" s="78"/>
      <c r="L27" s="78"/>
      <c r="M27" s="78"/>
      <c r="N27" s="79"/>
      <c r="O27" s="55"/>
      <c r="P27" s="55"/>
      <c r="Q27" s="55"/>
      <c r="R27" s="55"/>
      <c r="S27" s="55"/>
      <c r="T27" s="55"/>
      <c r="U27" s="55"/>
      <c r="V27" s="55"/>
      <c r="W27" s="55"/>
      <c r="DP27" s="52"/>
    </row>
    <row r="28" spans="1:120" ht="25.5" customHeight="1">
      <c r="A28" s="55"/>
      <c r="B28" s="499" t="s">
        <v>583</v>
      </c>
      <c r="C28" s="500"/>
      <c r="D28" s="500"/>
      <c r="E28" s="500"/>
      <c r="F28" s="500"/>
      <c r="G28" s="500"/>
      <c r="H28" s="500"/>
      <c r="I28" s="500"/>
      <c r="J28" s="500"/>
      <c r="K28" s="78"/>
      <c r="L28" s="78"/>
      <c r="M28" s="78"/>
      <c r="N28" s="79"/>
      <c r="O28" s="55"/>
      <c r="P28" s="55"/>
      <c r="Q28" s="55"/>
      <c r="R28" s="55"/>
      <c r="S28" s="55"/>
      <c r="T28" s="55"/>
      <c r="U28" s="55"/>
      <c r="V28" s="55"/>
      <c r="W28" s="55"/>
      <c r="DP28" s="52"/>
    </row>
    <row r="29" spans="1:120">
      <c r="A29" s="55"/>
      <c r="B29" s="54" t="s">
        <v>111</v>
      </c>
      <c r="C29" s="366"/>
      <c r="D29" s="366"/>
      <c r="E29" s="366"/>
      <c r="F29" s="366"/>
      <c r="G29" s="366"/>
      <c r="H29" s="366"/>
      <c r="I29" s="366"/>
      <c r="J29" s="366"/>
      <c r="K29" s="78"/>
      <c r="L29" s="78"/>
      <c r="M29" s="78"/>
      <c r="N29" s="79"/>
      <c r="O29" s="55"/>
      <c r="P29" s="55"/>
      <c r="Q29" s="55"/>
      <c r="R29" s="55"/>
      <c r="S29" s="55"/>
      <c r="T29" s="55"/>
      <c r="U29" s="55"/>
      <c r="V29" s="55"/>
      <c r="W29" s="55"/>
      <c r="DP29" s="52"/>
    </row>
    <row r="30" spans="1:120">
      <c r="A30" s="55"/>
      <c r="B30" s="77"/>
      <c r="C30" s="77"/>
      <c r="D30" s="77"/>
      <c r="E30" s="77"/>
      <c r="F30" s="77"/>
      <c r="G30" s="77"/>
      <c r="H30" s="78"/>
      <c r="I30" s="78"/>
      <c r="J30" s="78"/>
      <c r="K30" s="78"/>
      <c r="L30" s="78"/>
      <c r="M30" s="79"/>
      <c r="N30" s="55"/>
      <c r="O30" s="55"/>
      <c r="P30" s="55"/>
      <c r="Q30" s="55"/>
      <c r="R30" s="55"/>
      <c r="S30" s="55"/>
      <c r="T30" s="55"/>
      <c r="U30" s="55"/>
      <c r="V30" s="55"/>
    </row>
    <row r="31" spans="1:120" ht="16.2">
      <c r="A31" s="55"/>
      <c r="B31" s="80" t="s">
        <v>0</v>
      </c>
      <c r="C31" s="80"/>
      <c r="D31" s="81"/>
      <c r="E31" s="81"/>
      <c r="F31" s="81"/>
      <c r="G31" s="81"/>
      <c r="H31" s="81"/>
      <c r="I31" s="81"/>
      <c r="J31" s="81"/>
      <c r="K31" s="81"/>
      <c r="L31" s="82"/>
      <c r="M31" s="82"/>
      <c r="N31" s="82"/>
      <c r="O31" s="82"/>
      <c r="P31" s="82"/>
      <c r="Q31" s="82"/>
      <c r="R31" s="82"/>
      <c r="S31" s="82"/>
      <c r="T31" s="82"/>
      <c r="U31" s="82"/>
      <c r="V31" s="82"/>
      <c r="W31" s="82"/>
      <c r="X31" s="82"/>
      <c r="Y31" s="82"/>
      <c r="Z31" s="82"/>
      <c r="AA31" s="82"/>
      <c r="AB31" s="82"/>
    </row>
    <row r="32" spans="1:120">
      <c r="A32" s="55"/>
      <c r="B32" s="83"/>
      <c r="C32" s="83"/>
      <c r="D32" s="83"/>
      <c r="E32" s="83"/>
      <c r="F32" s="83"/>
      <c r="G32" s="83"/>
      <c r="H32" s="83"/>
      <c r="I32" s="83"/>
      <c r="J32" s="83"/>
      <c r="K32" s="83"/>
      <c r="L32" s="84"/>
      <c r="M32" s="85"/>
      <c r="N32" s="86"/>
      <c r="O32" s="86"/>
      <c r="P32" s="86"/>
      <c r="Q32" s="86"/>
      <c r="R32" s="86"/>
      <c r="S32" s="86"/>
      <c r="T32" s="86"/>
      <c r="U32" s="86"/>
      <c r="V32" s="86"/>
      <c r="W32" s="86"/>
      <c r="X32" s="86"/>
      <c r="Y32" s="86"/>
      <c r="Z32" s="86"/>
      <c r="AA32" s="86"/>
      <c r="AB32" s="86"/>
    </row>
    <row r="33" spans="1:121" s="52" customFormat="1" ht="13.8">
      <c r="A33" s="55"/>
      <c r="B33" s="87" t="s">
        <v>2</v>
      </c>
      <c r="C33" s="88" t="s">
        <v>4</v>
      </c>
      <c r="D33" s="88" t="s">
        <v>9</v>
      </c>
      <c r="E33" s="89" t="s">
        <v>11</v>
      </c>
      <c r="F33" s="89" t="s">
        <v>3</v>
      </c>
      <c r="G33" s="89"/>
      <c r="H33" s="89" t="s">
        <v>7</v>
      </c>
      <c r="I33" s="86"/>
      <c r="J33" s="86"/>
      <c r="K33" s="86"/>
      <c r="L33" s="90"/>
      <c r="M33" s="85"/>
      <c r="N33" s="86"/>
      <c r="O33" s="86"/>
      <c r="P33" s="86"/>
      <c r="Q33" s="86"/>
      <c r="R33" s="86"/>
      <c r="S33" s="86"/>
      <c r="T33" s="86"/>
      <c r="U33" s="86"/>
      <c r="V33" s="86"/>
      <c r="W33" s="86"/>
      <c r="X33" s="86"/>
      <c r="Y33" s="86"/>
      <c r="Z33" s="86"/>
      <c r="AA33" s="86"/>
      <c r="AB33" s="86"/>
    </row>
    <row r="34" spans="1:121" s="52" customFormat="1">
      <c r="A34" s="55"/>
      <c r="B34" s="91"/>
      <c r="C34" s="83"/>
      <c r="D34" s="83"/>
      <c r="E34" s="83"/>
      <c r="F34" s="83"/>
      <c r="G34" s="83"/>
      <c r="H34" s="84"/>
      <c r="I34" s="86"/>
      <c r="J34" s="86"/>
      <c r="K34" s="86"/>
      <c r="L34" s="90"/>
      <c r="M34" s="85"/>
      <c r="N34" s="86"/>
      <c r="O34" s="86"/>
      <c r="P34" s="86"/>
      <c r="Q34" s="86"/>
      <c r="R34" s="86"/>
      <c r="S34" s="86"/>
      <c r="T34" s="86"/>
      <c r="U34" s="86"/>
      <c r="V34" s="86"/>
      <c r="W34" s="86"/>
      <c r="X34" s="86"/>
      <c r="Y34" s="86"/>
      <c r="Z34" s="86"/>
      <c r="AA34" s="86"/>
      <c r="AB34" s="86"/>
    </row>
    <row r="35" spans="1:121" s="52" customFormat="1">
      <c r="A35" s="55"/>
      <c r="B35" s="289" t="s">
        <v>307</v>
      </c>
      <c r="C35" s="289"/>
      <c r="D35" s="289"/>
      <c r="E35" s="289"/>
      <c r="F35" s="289"/>
      <c r="G35" s="289"/>
      <c r="H35" s="289"/>
      <c r="I35" s="86"/>
      <c r="J35" s="92"/>
      <c r="K35" s="92"/>
      <c r="L35" s="84"/>
      <c r="M35" s="85"/>
      <c r="N35" s="86"/>
      <c r="O35" s="86"/>
      <c r="P35" s="86"/>
      <c r="Q35" s="86"/>
      <c r="R35" s="86"/>
      <c r="S35" s="86"/>
      <c r="T35" s="86"/>
      <c r="U35" s="86"/>
      <c r="V35" s="86"/>
      <c r="W35" s="86"/>
      <c r="X35" s="86"/>
      <c r="Y35" s="86"/>
      <c r="Z35" s="86"/>
      <c r="AA35" s="86"/>
      <c r="AB35" s="86"/>
    </row>
    <row r="36" spans="1:121" s="52" customFormat="1" ht="16.2">
      <c r="A36" s="55"/>
      <c r="B36" s="289" t="s">
        <v>308</v>
      </c>
      <c r="C36" s="304"/>
      <c r="D36" s="304"/>
      <c r="E36" s="304"/>
      <c r="F36" s="304"/>
      <c r="G36" s="304"/>
      <c r="H36" s="304"/>
      <c r="I36" s="86"/>
      <c r="J36" s="92"/>
      <c r="K36" s="92"/>
      <c r="L36" s="84"/>
      <c r="M36" s="85"/>
      <c r="N36" s="86"/>
      <c r="O36" s="86"/>
      <c r="P36" s="86"/>
      <c r="Q36" s="86"/>
      <c r="R36" s="86"/>
      <c r="S36" s="86"/>
      <c r="T36" s="86"/>
      <c r="U36" s="86"/>
      <c r="V36" s="86"/>
      <c r="W36" s="86"/>
      <c r="X36" s="86"/>
      <c r="Y36" s="86"/>
      <c r="Z36" s="86"/>
      <c r="AA36" s="86"/>
      <c r="AB36" s="86"/>
    </row>
    <row r="37" spans="1:121" s="52" customFormat="1" ht="16.2">
      <c r="A37" s="55"/>
      <c r="B37" s="289"/>
      <c r="C37" s="304"/>
      <c r="D37" s="304"/>
      <c r="E37" s="304"/>
      <c r="F37" s="304"/>
      <c r="G37" s="304"/>
      <c r="H37" s="304"/>
      <c r="I37" s="86"/>
      <c r="J37" s="92"/>
      <c r="K37" s="92"/>
      <c r="L37" s="84"/>
      <c r="M37" s="85"/>
      <c r="N37" s="86"/>
      <c r="O37" s="86"/>
      <c r="P37" s="86"/>
      <c r="Q37" s="86"/>
      <c r="R37" s="86"/>
      <c r="S37" s="86"/>
      <c r="T37" s="86"/>
      <c r="U37" s="86"/>
      <c r="V37" s="86"/>
      <c r="W37" s="86"/>
      <c r="X37" s="86"/>
      <c r="Y37" s="86"/>
      <c r="Z37" s="86"/>
      <c r="AA37" s="86"/>
      <c r="AB37" s="86"/>
    </row>
    <row r="38" spans="1:121" s="52" customFormat="1" ht="16.8" thickBot="1">
      <c r="A38" s="55"/>
      <c r="B38" s="432" t="s">
        <v>518</v>
      </c>
      <c r="C38" s="304"/>
      <c r="D38" s="304"/>
      <c r="E38" s="304"/>
      <c r="F38" s="304"/>
      <c r="G38" s="304"/>
      <c r="H38" s="304"/>
      <c r="I38" s="86"/>
      <c r="J38" s="92"/>
      <c r="K38" s="92"/>
      <c r="L38" s="84"/>
      <c r="M38" s="85"/>
      <c r="N38" s="86"/>
      <c r="O38" s="86"/>
      <c r="P38" s="86"/>
      <c r="Q38" s="86"/>
      <c r="R38" s="86"/>
      <c r="S38" s="86"/>
      <c r="T38" s="86"/>
      <c r="U38" s="86"/>
      <c r="V38" s="86"/>
      <c r="W38" s="86"/>
      <c r="X38" s="86"/>
      <c r="Y38" s="86"/>
      <c r="Z38" s="86"/>
      <c r="AA38" s="86"/>
      <c r="AB38" s="86"/>
    </row>
    <row r="39" spans="1:121" s="52" customFormat="1" ht="16.2">
      <c r="A39" s="55"/>
      <c r="B39" s="458"/>
      <c r="C39" s="459"/>
      <c r="D39" s="459"/>
      <c r="E39" s="459"/>
      <c r="F39" s="459"/>
      <c r="G39" s="459"/>
      <c r="H39" s="459"/>
      <c r="I39" s="345"/>
      <c r="J39" s="92"/>
      <c r="K39" s="92"/>
      <c r="L39" s="84"/>
      <c r="M39" s="85"/>
      <c r="N39" s="86"/>
      <c r="O39" s="86"/>
      <c r="P39" s="86"/>
      <c r="Q39" s="86"/>
      <c r="R39" s="86"/>
      <c r="S39" s="86"/>
      <c r="T39" s="86"/>
      <c r="U39" s="86"/>
      <c r="V39" s="86"/>
      <c r="W39" s="86"/>
      <c r="X39" s="86"/>
      <c r="Y39" s="86"/>
      <c r="Z39" s="86"/>
      <c r="AA39" s="86"/>
      <c r="AB39" s="86"/>
    </row>
    <row r="40" spans="1:121" s="52" customFormat="1">
      <c r="A40" s="55"/>
      <c r="B40" s="341" t="s">
        <v>413</v>
      </c>
      <c r="C40" s="84"/>
      <c r="D40" s="94" t="s">
        <v>414</v>
      </c>
      <c r="E40" s="92" t="s">
        <v>6</v>
      </c>
      <c r="F40" s="101" t="s">
        <v>88</v>
      </c>
      <c r="G40" s="83"/>
      <c r="H40" s="95"/>
      <c r="I40" s="346"/>
      <c r="J40" s="86"/>
      <c r="K40" s="86"/>
      <c r="L40" s="86"/>
      <c r="M40" s="85"/>
      <c r="N40" s="86"/>
      <c r="O40" s="86"/>
      <c r="P40" s="86"/>
      <c r="Q40" s="86"/>
      <c r="R40" s="86"/>
      <c r="S40" s="86"/>
      <c r="T40" s="86"/>
      <c r="U40" s="86"/>
      <c r="V40" s="86"/>
      <c r="W40" s="86"/>
      <c r="X40" s="86"/>
      <c r="Y40" s="86"/>
      <c r="Z40" s="86"/>
      <c r="AA40" s="86"/>
      <c r="AB40" s="86"/>
      <c r="DP40" s="58"/>
      <c r="DQ40" s="58"/>
    </row>
    <row r="41" spans="1:121" s="52" customFormat="1" ht="13.2" thickBot="1">
      <c r="A41" s="55"/>
      <c r="B41" s="341"/>
      <c r="C41" s="93"/>
      <c r="D41" s="83"/>
      <c r="E41" s="83"/>
      <c r="F41" s="83"/>
      <c r="G41" s="83"/>
      <c r="H41" s="83"/>
      <c r="I41" s="347"/>
      <c r="J41" s="92"/>
      <c r="K41" s="92"/>
      <c r="L41" s="84"/>
      <c r="M41" s="85"/>
      <c r="N41" s="86"/>
      <c r="O41" s="86"/>
      <c r="P41" s="86"/>
      <c r="Q41" s="86"/>
      <c r="R41" s="86"/>
      <c r="S41" s="86"/>
      <c r="T41" s="86"/>
      <c r="U41" s="86"/>
      <c r="V41" s="86"/>
      <c r="W41" s="86"/>
      <c r="X41" s="86"/>
      <c r="Y41" s="86"/>
      <c r="Z41" s="86"/>
      <c r="AA41" s="86"/>
      <c r="AB41" s="86"/>
    </row>
    <row r="42" spans="1:121" s="52" customFormat="1" ht="16.2" thickBot="1">
      <c r="A42" s="55"/>
      <c r="B42" s="341" t="s">
        <v>319</v>
      </c>
      <c r="C42" s="416" t="s">
        <v>507</v>
      </c>
      <c r="D42" s="417" t="s">
        <v>502</v>
      </c>
      <c r="E42" s="422" t="s">
        <v>6</v>
      </c>
      <c r="F42" s="423" t="s">
        <v>321</v>
      </c>
      <c r="G42" s="344"/>
      <c r="H42" s="424"/>
      <c r="I42" s="346"/>
      <c r="J42" s="86"/>
      <c r="K42" s="86"/>
      <c r="L42" s="86"/>
      <c r="M42" s="85"/>
      <c r="N42" s="86"/>
      <c r="O42" s="86"/>
      <c r="P42" s="86"/>
      <c r="Q42" s="86"/>
      <c r="R42" s="86"/>
      <c r="S42" s="86"/>
      <c r="T42" s="86"/>
      <c r="U42" s="86"/>
      <c r="V42" s="86"/>
      <c r="W42" s="86"/>
      <c r="X42" s="86"/>
      <c r="Y42" s="86"/>
      <c r="Z42" s="86"/>
      <c r="AA42" s="86"/>
      <c r="AB42" s="86"/>
      <c r="DP42" s="58"/>
      <c r="DQ42" s="58"/>
    </row>
    <row r="43" spans="1:121" s="52" customFormat="1" ht="3" customHeight="1" thickTop="1">
      <c r="A43" s="55"/>
      <c r="B43" s="341"/>
      <c r="C43" s="418"/>
      <c r="D43" s="84"/>
      <c r="E43" s="92"/>
      <c r="F43" s="101"/>
      <c r="G43" s="83"/>
      <c r="H43" s="425"/>
      <c r="I43" s="346"/>
      <c r="J43" s="86"/>
      <c r="K43" s="86"/>
      <c r="L43" s="86"/>
      <c r="M43" s="85"/>
      <c r="N43" s="86"/>
      <c r="O43" s="86"/>
      <c r="P43" s="86"/>
      <c r="Q43" s="86"/>
      <c r="R43" s="86"/>
      <c r="S43" s="86"/>
      <c r="T43" s="86"/>
      <c r="U43" s="86"/>
      <c r="V43" s="86"/>
      <c r="W43" s="86"/>
      <c r="X43" s="86"/>
      <c r="Y43" s="86"/>
      <c r="Z43" s="86"/>
      <c r="AA43" s="86"/>
      <c r="AB43" s="86"/>
      <c r="DP43" s="58"/>
      <c r="DQ43" s="58"/>
    </row>
    <row r="44" spans="1:121" s="52" customFormat="1" ht="37.799999999999997">
      <c r="A44" s="55"/>
      <c r="B44" s="341"/>
      <c r="C44" s="419"/>
      <c r="D44" s="100" t="s">
        <v>503</v>
      </c>
      <c r="E44" s="101" t="s">
        <v>6</v>
      </c>
      <c r="F44" s="101" t="s">
        <v>412</v>
      </c>
      <c r="G44" s="101"/>
      <c r="H44" s="426"/>
      <c r="I44" s="346"/>
      <c r="J44" s="86"/>
      <c r="K44" s="86"/>
      <c r="L44" s="86"/>
      <c r="M44" s="85"/>
      <c r="N44" s="86"/>
      <c r="O44" s="86"/>
      <c r="P44" s="86"/>
      <c r="Q44" s="86"/>
      <c r="R44" s="86"/>
      <c r="S44" s="86"/>
      <c r="T44" s="86"/>
      <c r="U44" s="86"/>
      <c r="V44" s="86"/>
      <c r="W44" s="86"/>
      <c r="X44" s="86"/>
      <c r="Y44" s="86"/>
      <c r="Z44" s="86"/>
      <c r="AA44" s="86"/>
      <c r="AB44" s="86"/>
      <c r="DP44" s="58"/>
      <c r="DQ44" s="58"/>
    </row>
    <row r="45" spans="1:121" s="52" customFormat="1" ht="3" customHeight="1">
      <c r="A45" s="55"/>
      <c r="B45" s="341"/>
      <c r="C45" s="419"/>
      <c r="D45" s="164"/>
      <c r="E45" s="92"/>
      <c r="F45" s="101"/>
      <c r="G45" s="101"/>
      <c r="H45" s="425"/>
      <c r="I45" s="346"/>
      <c r="J45" s="86"/>
      <c r="K45" s="86"/>
      <c r="L45" s="86"/>
      <c r="M45" s="85"/>
      <c r="N45" s="86"/>
      <c r="O45" s="86"/>
      <c r="P45" s="86"/>
      <c r="Q45" s="86"/>
      <c r="R45" s="86"/>
      <c r="S45" s="86"/>
      <c r="T45" s="86"/>
      <c r="U45" s="86"/>
      <c r="V45" s="86"/>
      <c r="W45" s="86"/>
      <c r="X45" s="86"/>
      <c r="Y45" s="86"/>
      <c r="Z45" s="86"/>
      <c r="AA45" s="86"/>
      <c r="AB45" s="86"/>
      <c r="DP45" s="58"/>
      <c r="DQ45" s="58"/>
    </row>
    <row r="46" spans="1:121" s="52" customFormat="1" ht="14.4" thickBot="1">
      <c r="A46" s="55"/>
      <c r="B46" s="341"/>
      <c r="C46" s="420" t="s">
        <v>504</v>
      </c>
      <c r="D46" s="352" t="s">
        <v>505</v>
      </c>
      <c r="E46" s="427" t="s">
        <v>8</v>
      </c>
      <c r="F46" s="354" t="s">
        <v>178</v>
      </c>
      <c r="G46" s="354"/>
      <c r="H46" s="428" t="str">
        <f>IF(AND(F42='Pick-lists &amp; Defaults'!B6,ISNUMBER(as_content),ISNUMBER(density),ISNUMBER(Purity)),as_content*density*Purity/10,IF(AND(F42='Pick-lists &amp; Defaults'!B7,ISNUMBER(as_content),ISNUMBER(Purity)),as_content*Purity/100,"??"))</f>
        <v>??</v>
      </c>
      <c r="I46" s="346"/>
      <c r="J46" s="86"/>
      <c r="K46" s="86"/>
      <c r="L46" s="86"/>
      <c r="M46" s="85"/>
      <c r="N46" s="86"/>
      <c r="O46" s="86"/>
      <c r="P46" s="86"/>
      <c r="Q46" s="86"/>
      <c r="R46" s="86"/>
      <c r="S46" s="86"/>
      <c r="T46" s="86"/>
      <c r="U46" s="86"/>
      <c r="V46" s="86"/>
      <c r="W46" s="86"/>
      <c r="X46" s="86"/>
      <c r="Y46" s="86"/>
      <c r="Z46" s="86"/>
      <c r="AA46" s="86"/>
      <c r="AB46" s="86"/>
      <c r="DP46" s="58"/>
      <c r="DQ46" s="58"/>
    </row>
    <row r="47" spans="1:121" s="52" customFormat="1">
      <c r="A47" s="55"/>
      <c r="B47" s="349"/>
      <c r="C47" s="84"/>
      <c r="D47" s="84"/>
      <c r="E47" s="92"/>
      <c r="F47" s="101"/>
      <c r="G47" s="92"/>
      <c r="H47" s="92"/>
      <c r="I47" s="347"/>
      <c r="J47" s="86"/>
      <c r="K47" s="86"/>
      <c r="L47" s="86"/>
      <c r="M47" s="85"/>
      <c r="N47" s="86"/>
      <c r="O47" s="86"/>
      <c r="P47" s="86"/>
      <c r="Q47" s="86"/>
      <c r="R47" s="86"/>
      <c r="S47" s="86"/>
      <c r="T47" s="86"/>
      <c r="U47" s="86"/>
      <c r="V47" s="86"/>
      <c r="W47" s="86"/>
      <c r="X47" s="86"/>
      <c r="Y47" s="86"/>
      <c r="Z47" s="86"/>
      <c r="AA47" s="86"/>
      <c r="AB47" s="86"/>
      <c r="DP47" s="58"/>
      <c r="DQ47" s="58"/>
    </row>
    <row r="48" spans="1:121" ht="25.2">
      <c r="A48" s="55"/>
      <c r="B48" s="350" t="s">
        <v>315</v>
      </c>
      <c r="C48" s="94" t="s">
        <v>316</v>
      </c>
      <c r="D48" s="99" t="s">
        <v>410</v>
      </c>
      <c r="E48" s="101" t="s">
        <v>6</v>
      </c>
      <c r="F48" s="101" t="s">
        <v>5</v>
      </c>
      <c r="G48" s="98"/>
      <c r="H48" s="95"/>
      <c r="I48" s="346"/>
      <c r="J48" s="86"/>
      <c r="K48" s="86"/>
      <c r="L48" s="90"/>
      <c r="M48" s="85"/>
      <c r="N48" s="86"/>
      <c r="O48" s="86"/>
      <c r="P48" s="86"/>
      <c r="Q48" s="86"/>
      <c r="R48" s="86"/>
      <c r="S48" s="86"/>
      <c r="T48" s="86"/>
      <c r="U48" s="86"/>
      <c r="V48" s="86"/>
      <c r="W48" s="86"/>
      <c r="X48" s="86"/>
      <c r="Y48" s="86"/>
      <c r="Z48" s="86"/>
      <c r="AA48" s="86"/>
      <c r="AB48" s="86"/>
    </row>
    <row r="49" spans="1:121">
      <c r="A49" s="55"/>
      <c r="B49" s="350"/>
      <c r="C49" s="94"/>
      <c r="D49" s="106"/>
      <c r="E49" s="101"/>
      <c r="F49" s="101"/>
      <c r="G49" s="101"/>
      <c r="H49" s="98"/>
      <c r="I49" s="346"/>
      <c r="J49" s="86"/>
      <c r="K49" s="86"/>
      <c r="L49" s="90"/>
      <c r="M49" s="85"/>
      <c r="N49" s="86"/>
      <c r="O49" s="86"/>
      <c r="P49" s="86"/>
      <c r="Q49" s="86"/>
      <c r="R49" s="86"/>
      <c r="S49" s="86"/>
      <c r="T49" s="86"/>
      <c r="U49" s="86"/>
      <c r="V49" s="86"/>
      <c r="W49" s="86"/>
      <c r="X49" s="86"/>
      <c r="Y49" s="86"/>
      <c r="Z49" s="86"/>
      <c r="AA49" s="86"/>
      <c r="AB49" s="86"/>
    </row>
    <row r="50" spans="1:121">
      <c r="A50" s="55"/>
      <c r="B50" s="350" t="s">
        <v>312</v>
      </c>
      <c r="C50" s="94" t="s">
        <v>313</v>
      </c>
      <c r="D50" s="106"/>
      <c r="E50" s="101" t="s">
        <v>13</v>
      </c>
      <c r="F50" s="101" t="s">
        <v>314</v>
      </c>
      <c r="G50" s="101"/>
      <c r="H50" s="98">
        <v>10</v>
      </c>
      <c r="I50" s="346"/>
      <c r="J50" s="86"/>
      <c r="K50" s="86"/>
      <c r="L50" s="90"/>
      <c r="M50" s="85"/>
      <c r="N50" s="86"/>
      <c r="O50" s="86"/>
      <c r="P50" s="86"/>
      <c r="Q50" s="86"/>
      <c r="R50" s="86"/>
      <c r="S50" s="86"/>
      <c r="T50" s="86"/>
      <c r="U50" s="86"/>
      <c r="V50" s="86"/>
      <c r="W50" s="86"/>
      <c r="X50" s="86"/>
      <c r="Y50" s="86"/>
      <c r="Z50" s="86"/>
      <c r="AA50" s="86"/>
      <c r="AB50" s="86"/>
    </row>
    <row r="51" spans="1:121" ht="13.2" thickBot="1">
      <c r="A51" s="55"/>
      <c r="B51" s="351"/>
      <c r="C51" s="352"/>
      <c r="D51" s="434"/>
      <c r="E51" s="354"/>
      <c r="F51" s="354"/>
      <c r="G51" s="354"/>
      <c r="H51" s="355"/>
      <c r="I51" s="356"/>
      <c r="J51" s="86"/>
      <c r="K51" s="86"/>
      <c r="L51" s="90"/>
      <c r="M51" s="85"/>
      <c r="N51" s="86"/>
      <c r="O51" s="86"/>
      <c r="P51" s="86"/>
      <c r="Q51" s="86"/>
      <c r="R51" s="86"/>
      <c r="S51" s="86"/>
      <c r="T51" s="86"/>
      <c r="U51" s="86"/>
      <c r="V51" s="86"/>
      <c r="W51" s="86"/>
      <c r="X51" s="86"/>
      <c r="Y51" s="86"/>
      <c r="Z51" s="86"/>
      <c r="AA51" s="86"/>
      <c r="AB51" s="86"/>
    </row>
    <row r="52" spans="1:121">
      <c r="A52" s="55"/>
      <c r="B52" s="99"/>
      <c r="C52" s="94"/>
      <c r="D52" s="85"/>
      <c r="E52" s="101"/>
      <c r="F52" s="101"/>
      <c r="G52" s="101"/>
      <c r="H52" s="98"/>
      <c r="I52" s="161"/>
      <c r="J52" s="86"/>
      <c r="K52" s="86"/>
      <c r="L52" s="90"/>
      <c r="M52" s="85"/>
      <c r="N52" s="86"/>
      <c r="O52" s="86"/>
      <c r="P52" s="86"/>
      <c r="Q52" s="86"/>
      <c r="R52" s="86"/>
      <c r="S52" s="86"/>
      <c r="T52" s="86"/>
      <c r="U52" s="86"/>
      <c r="V52" s="86"/>
      <c r="W52" s="86"/>
      <c r="X52" s="86"/>
      <c r="Y52" s="86"/>
      <c r="Z52" s="86"/>
      <c r="AA52" s="86"/>
      <c r="AB52" s="86"/>
    </row>
    <row r="53" spans="1:121">
      <c r="A53" s="55"/>
      <c r="B53" s="84" t="s">
        <v>328</v>
      </c>
      <c r="C53" s="109"/>
      <c r="D53" s="86"/>
      <c r="E53" s="312"/>
      <c r="F53" s="101"/>
      <c r="G53" s="101"/>
      <c r="H53" s="98"/>
      <c r="I53" s="161"/>
      <c r="J53" s="86"/>
      <c r="K53" s="86"/>
      <c r="L53" s="90"/>
      <c r="M53" s="85"/>
      <c r="N53" s="86"/>
      <c r="O53" s="86"/>
      <c r="P53" s="86"/>
      <c r="Q53" s="86"/>
      <c r="R53" s="86"/>
      <c r="S53" s="86"/>
      <c r="T53" s="86"/>
      <c r="U53" s="86"/>
      <c r="V53" s="86"/>
      <c r="W53" s="86"/>
      <c r="X53" s="86"/>
      <c r="Y53" s="86"/>
      <c r="Z53" s="86"/>
      <c r="AA53" s="86"/>
      <c r="AB53" s="86"/>
    </row>
    <row r="54" spans="1:121" ht="15">
      <c r="A54" s="55"/>
      <c r="B54" s="296" t="s">
        <v>326</v>
      </c>
      <c r="C54" s="297" t="s">
        <v>135</v>
      </c>
      <c r="D54" s="93" t="s">
        <v>329</v>
      </c>
      <c r="E54" s="312" t="s">
        <v>13</v>
      </c>
      <c r="F54" s="101" t="s">
        <v>5</v>
      </c>
      <c r="G54" s="101"/>
      <c r="H54" s="98">
        <v>1</v>
      </c>
      <c r="I54" s="161"/>
      <c r="J54" s="86"/>
      <c r="K54" s="86"/>
      <c r="L54" s="90"/>
      <c r="M54" s="85"/>
      <c r="N54" s="86"/>
      <c r="O54" s="86"/>
      <c r="P54" s="86"/>
      <c r="Q54" s="86"/>
      <c r="R54" s="86"/>
      <c r="S54" s="86"/>
      <c r="T54" s="86"/>
      <c r="U54" s="86"/>
      <c r="V54" s="86"/>
      <c r="W54" s="86"/>
      <c r="X54" s="86"/>
      <c r="Y54" s="86"/>
      <c r="Z54" s="86"/>
      <c r="AA54" s="86"/>
      <c r="AB54" s="86"/>
    </row>
    <row r="55" spans="1:121" ht="15">
      <c r="A55" s="55"/>
      <c r="B55" s="296" t="s">
        <v>327</v>
      </c>
      <c r="C55" s="295" t="s">
        <v>136</v>
      </c>
      <c r="D55" s="93" t="s">
        <v>329</v>
      </c>
      <c r="E55" s="312" t="s">
        <v>13</v>
      </c>
      <c r="F55" s="101" t="s">
        <v>5</v>
      </c>
      <c r="G55" s="101"/>
      <c r="H55" s="98">
        <v>1</v>
      </c>
      <c r="I55" s="161"/>
      <c r="J55" s="86"/>
      <c r="K55" s="86"/>
      <c r="L55" s="90"/>
      <c r="M55" s="85"/>
      <c r="N55" s="86"/>
      <c r="O55" s="86"/>
      <c r="P55" s="86"/>
      <c r="Q55" s="86"/>
      <c r="R55" s="86"/>
      <c r="S55" s="86"/>
      <c r="T55" s="86"/>
      <c r="U55" s="86"/>
      <c r="V55" s="86"/>
      <c r="W55" s="86"/>
      <c r="X55" s="86"/>
      <c r="Y55" s="86"/>
      <c r="Z55" s="86"/>
      <c r="AA55" s="86"/>
      <c r="AB55" s="86"/>
    </row>
    <row r="56" spans="1:121">
      <c r="A56" s="55"/>
      <c r="B56" s="84"/>
      <c r="C56" s="84"/>
      <c r="D56" s="94"/>
      <c r="E56" s="290"/>
      <c r="F56" s="101"/>
      <c r="G56" s="101"/>
      <c r="H56" s="98"/>
      <c r="I56" s="161"/>
      <c r="J56" s="86"/>
      <c r="K56" s="86"/>
      <c r="L56" s="90"/>
      <c r="M56" s="85"/>
      <c r="N56" s="86"/>
      <c r="O56" s="86"/>
      <c r="P56" s="86"/>
      <c r="Q56" s="86"/>
      <c r="R56" s="86"/>
      <c r="S56" s="86"/>
      <c r="T56" s="86"/>
      <c r="U56" s="86"/>
      <c r="V56" s="86"/>
      <c r="W56" s="86"/>
      <c r="X56" s="86"/>
      <c r="Y56" s="86"/>
      <c r="Z56" s="86"/>
      <c r="AA56" s="86"/>
      <c r="AB56" s="86"/>
    </row>
    <row r="57" spans="1:121" ht="25.2">
      <c r="A57" s="55"/>
      <c r="B57" s="99" t="s">
        <v>337</v>
      </c>
      <c r="C57" s="228" t="s">
        <v>342</v>
      </c>
      <c r="D57" s="94"/>
      <c r="E57" s="101" t="s">
        <v>13</v>
      </c>
      <c r="F57" s="101" t="s">
        <v>90</v>
      </c>
      <c r="G57" s="101"/>
      <c r="H57" s="98">
        <v>1</v>
      </c>
      <c r="I57" s="161"/>
      <c r="J57" s="86"/>
      <c r="K57" s="86"/>
      <c r="L57" s="90"/>
      <c r="M57" s="85"/>
      <c r="N57" s="86"/>
      <c r="O57" s="86"/>
      <c r="P57" s="86"/>
      <c r="Q57" s="86"/>
      <c r="R57" s="86"/>
      <c r="S57" s="86"/>
      <c r="T57" s="86"/>
      <c r="U57" s="86"/>
      <c r="V57" s="86"/>
      <c r="W57" s="86"/>
      <c r="X57" s="86"/>
      <c r="Y57" s="86"/>
      <c r="Z57" s="86"/>
      <c r="AA57" s="86"/>
      <c r="AB57" s="86"/>
    </row>
    <row r="58" spans="1:121">
      <c r="A58" s="55"/>
      <c r="B58" s="84"/>
      <c r="C58" s="84"/>
      <c r="D58" s="94"/>
      <c r="E58" s="290"/>
      <c r="F58" s="101"/>
      <c r="G58" s="101"/>
      <c r="H58" s="98"/>
      <c r="I58" s="161"/>
      <c r="J58" s="86"/>
      <c r="K58" s="86"/>
      <c r="L58" s="90"/>
      <c r="M58" s="85"/>
      <c r="N58" s="86"/>
      <c r="O58" s="86"/>
      <c r="P58" s="86"/>
      <c r="Q58" s="86"/>
      <c r="R58" s="86"/>
      <c r="S58" s="86"/>
      <c r="T58" s="86"/>
      <c r="U58" s="86"/>
      <c r="V58" s="86"/>
      <c r="W58" s="86"/>
      <c r="X58" s="86"/>
      <c r="Y58" s="86"/>
      <c r="Z58" s="86"/>
      <c r="AA58" s="86"/>
      <c r="AB58" s="86"/>
    </row>
    <row r="59" spans="1:121" ht="25.2">
      <c r="A59" s="55"/>
      <c r="B59" s="99" t="s">
        <v>331</v>
      </c>
      <c r="C59" s="100" t="s">
        <v>330</v>
      </c>
      <c r="D59" s="94" t="s">
        <v>329</v>
      </c>
      <c r="E59" s="312" t="s">
        <v>13</v>
      </c>
      <c r="F59" s="101" t="s">
        <v>5</v>
      </c>
      <c r="G59" s="101"/>
      <c r="H59" s="98">
        <v>365</v>
      </c>
      <c r="I59" s="161"/>
      <c r="J59" s="86"/>
      <c r="K59" s="86"/>
      <c r="L59" s="90"/>
      <c r="M59" s="85"/>
      <c r="N59" s="86"/>
      <c r="O59" s="86"/>
      <c r="P59" s="86"/>
      <c r="Q59" s="86"/>
      <c r="R59" s="86"/>
      <c r="S59" s="86"/>
      <c r="T59" s="86"/>
      <c r="U59" s="86"/>
      <c r="V59" s="86"/>
      <c r="W59" s="86"/>
      <c r="X59" s="86"/>
      <c r="Y59" s="86"/>
      <c r="Z59" s="86"/>
      <c r="AA59" s="86"/>
      <c r="AB59" s="86"/>
    </row>
    <row r="60" spans="1:121" ht="3" customHeight="1">
      <c r="A60" s="55"/>
      <c r="B60" s="99"/>
      <c r="C60" s="94"/>
      <c r="D60" s="85"/>
      <c r="E60" s="101"/>
      <c r="F60" s="101"/>
      <c r="G60" s="101"/>
      <c r="H60" s="98"/>
      <c r="I60" s="161"/>
      <c r="J60" s="86"/>
      <c r="K60" s="86"/>
      <c r="L60" s="90"/>
      <c r="M60" s="85"/>
      <c r="N60" s="86"/>
      <c r="O60" s="86"/>
      <c r="P60" s="86"/>
      <c r="Q60" s="86"/>
      <c r="R60" s="86"/>
      <c r="S60" s="86"/>
      <c r="T60" s="86"/>
      <c r="U60" s="86"/>
      <c r="V60" s="86"/>
      <c r="W60" s="86"/>
      <c r="X60" s="86"/>
      <c r="Y60" s="86"/>
      <c r="Z60" s="86"/>
      <c r="AA60" s="86"/>
      <c r="AB60" s="86"/>
    </row>
    <row r="61" spans="1:121">
      <c r="A61" s="55"/>
      <c r="B61" s="99" t="s">
        <v>306</v>
      </c>
      <c r="C61" s="94" t="s">
        <v>70</v>
      </c>
      <c r="D61" s="94" t="s">
        <v>329</v>
      </c>
      <c r="E61" s="312" t="s">
        <v>13</v>
      </c>
      <c r="F61" s="101" t="s">
        <v>10</v>
      </c>
      <c r="G61" s="101"/>
      <c r="H61" s="98">
        <v>1</v>
      </c>
      <c r="I61" s="161"/>
      <c r="J61" s="86"/>
      <c r="K61" s="86"/>
      <c r="L61" s="90"/>
      <c r="M61" s="85"/>
      <c r="N61" s="86"/>
      <c r="O61" s="86"/>
      <c r="P61" s="86"/>
      <c r="Q61" s="86"/>
      <c r="R61" s="86"/>
      <c r="S61" s="86"/>
      <c r="T61" s="86"/>
      <c r="U61" s="86"/>
      <c r="V61" s="86"/>
      <c r="W61" s="86"/>
      <c r="X61" s="86"/>
      <c r="Y61" s="86"/>
      <c r="Z61" s="86"/>
      <c r="AA61" s="86"/>
      <c r="AB61" s="86"/>
    </row>
    <row r="62" spans="1:121">
      <c r="A62" s="55"/>
      <c r="B62" s="99"/>
      <c r="C62" s="94"/>
      <c r="D62" s="85"/>
      <c r="E62" s="101"/>
      <c r="F62" s="101"/>
      <c r="G62" s="101"/>
      <c r="H62" s="98"/>
      <c r="I62" s="161"/>
      <c r="J62" s="86"/>
      <c r="K62" s="86"/>
      <c r="L62" s="90"/>
      <c r="M62" s="85"/>
      <c r="N62" s="86"/>
      <c r="O62" s="86"/>
      <c r="P62" s="86"/>
      <c r="Q62" s="86"/>
      <c r="R62" s="86"/>
      <c r="S62" s="86"/>
      <c r="T62" s="86"/>
      <c r="U62" s="86"/>
      <c r="V62" s="86"/>
      <c r="W62" s="86"/>
      <c r="X62" s="86"/>
      <c r="Y62" s="86"/>
      <c r="Z62" s="86"/>
      <c r="AA62" s="86"/>
      <c r="AB62" s="86"/>
    </row>
    <row r="63" spans="1:121" s="54" customFormat="1">
      <c r="A63" s="55"/>
      <c r="B63" s="93" t="s">
        <v>405</v>
      </c>
      <c r="C63" s="84" t="s">
        <v>42</v>
      </c>
      <c r="D63" s="94" t="s">
        <v>329</v>
      </c>
      <c r="E63" s="92" t="s">
        <v>13</v>
      </c>
      <c r="F63" s="101" t="s">
        <v>5</v>
      </c>
      <c r="G63" s="92"/>
      <c r="H63" s="92">
        <v>4</v>
      </c>
      <c r="I63" s="85"/>
      <c r="J63" s="85"/>
      <c r="K63" s="85"/>
      <c r="L63" s="85"/>
      <c r="M63" s="85"/>
      <c r="N63" s="86"/>
      <c r="O63" s="86"/>
      <c r="P63" s="86"/>
      <c r="Q63" s="86"/>
      <c r="R63" s="86"/>
      <c r="S63" s="86"/>
      <c r="T63" s="86"/>
      <c r="U63" s="86"/>
      <c r="V63" s="86"/>
      <c r="W63" s="86"/>
      <c r="X63" s="86"/>
      <c r="Y63" s="86"/>
      <c r="Z63" s="86"/>
      <c r="AA63" s="86"/>
      <c r="AB63" s="86"/>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8"/>
      <c r="DQ63" s="58"/>
    </row>
    <row r="64" spans="1:121" s="54" customFormat="1" ht="3" customHeight="1">
      <c r="A64" s="55"/>
      <c r="B64" s="93"/>
      <c r="C64" s="84"/>
      <c r="D64" s="94"/>
      <c r="E64" s="92"/>
      <c r="F64" s="101"/>
      <c r="G64" s="92"/>
      <c r="H64" s="92"/>
      <c r="I64" s="85"/>
      <c r="J64" s="85"/>
      <c r="K64" s="85"/>
      <c r="L64" s="85"/>
      <c r="M64" s="85"/>
      <c r="N64" s="86"/>
      <c r="O64" s="86"/>
      <c r="P64" s="86"/>
      <c r="Q64" s="86"/>
      <c r="R64" s="86"/>
      <c r="S64" s="86"/>
      <c r="T64" s="86"/>
      <c r="U64" s="86"/>
      <c r="V64" s="86"/>
      <c r="W64" s="86"/>
      <c r="X64" s="86"/>
      <c r="Y64" s="86"/>
      <c r="Z64" s="86"/>
      <c r="AA64" s="86"/>
      <c r="AB64" s="86"/>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8"/>
      <c r="DQ64" s="58"/>
    </row>
    <row r="65" spans="1:121" s="54" customFormat="1">
      <c r="A65" s="55"/>
      <c r="B65" s="93" t="s">
        <v>406</v>
      </c>
      <c r="C65" s="84" t="s">
        <v>43</v>
      </c>
      <c r="D65" s="94" t="s">
        <v>329</v>
      </c>
      <c r="E65" s="92" t="s">
        <v>13</v>
      </c>
      <c r="F65" s="101" t="s">
        <v>5</v>
      </c>
      <c r="G65" s="92"/>
      <c r="H65" s="92">
        <v>1</v>
      </c>
      <c r="I65" s="85"/>
      <c r="J65" s="85"/>
      <c r="K65" s="85"/>
      <c r="L65" s="85"/>
      <c r="M65" s="85"/>
      <c r="N65" s="86"/>
      <c r="O65" s="86"/>
      <c r="P65" s="86"/>
      <c r="Q65" s="86"/>
      <c r="R65" s="86"/>
      <c r="S65" s="86"/>
      <c r="T65" s="86"/>
      <c r="U65" s="86"/>
      <c r="V65" s="86"/>
      <c r="W65" s="86"/>
      <c r="X65" s="86"/>
      <c r="Y65" s="86"/>
      <c r="Z65" s="86"/>
      <c r="AA65" s="86"/>
      <c r="AB65" s="86"/>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8"/>
      <c r="DQ65" s="58"/>
    </row>
    <row r="66" spans="1:121" s="54" customFormat="1" ht="3" customHeight="1">
      <c r="A66" s="55"/>
      <c r="B66" s="93"/>
      <c r="C66" s="84"/>
      <c r="D66" s="94"/>
      <c r="E66" s="92"/>
      <c r="F66" s="101"/>
      <c r="G66" s="92"/>
      <c r="H66" s="92"/>
      <c r="I66" s="85"/>
      <c r="J66" s="85"/>
      <c r="K66" s="85"/>
      <c r="L66" s="85"/>
      <c r="M66" s="85"/>
      <c r="N66" s="86"/>
      <c r="O66" s="86"/>
      <c r="P66" s="86"/>
      <c r="Q66" s="86"/>
      <c r="R66" s="86"/>
      <c r="S66" s="86"/>
      <c r="T66" s="86"/>
      <c r="U66" s="86"/>
      <c r="V66" s="86"/>
      <c r="W66" s="86"/>
      <c r="X66" s="86"/>
      <c r="Y66" s="86"/>
      <c r="Z66" s="86"/>
      <c r="AA66" s="86"/>
      <c r="AB66" s="86"/>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8"/>
      <c r="DQ66" s="58"/>
    </row>
    <row r="67" spans="1:121" s="54" customFormat="1">
      <c r="A67" s="55"/>
      <c r="B67" s="99" t="s">
        <v>184</v>
      </c>
      <c r="C67" s="94" t="s">
        <v>110</v>
      </c>
      <c r="D67" s="94" t="s">
        <v>522</v>
      </c>
      <c r="E67" s="101" t="s">
        <v>69</v>
      </c>
      <c r="F67" s="101" t="s">
        <v>5</v>
      </c>
      <c r="G67" s="101"/>
      <c r="H67" s="141">
        <f>10*Nlapp_arab</f>
        <v>10</v>
      </c>
      <c r="I67" s="85"/>
      <c r="J67" s="85"/>
      <c r="K67" s="85"/>
      <c r="L67" s="85"/>
      <c r="M67" s="85"/>
      <c r="N67" s="86"/>
      <c r="O67" s="86"/>
      <c r="P67" s="86"/>
      <c r="Q67" s="86"/>
      <c r="R67" s="86"/>
      <c r="S67" s="86"/>
      <c r="T67" s="86"/>
      <c r="U67" s="86"/>
      <c r="V67" s="86"/>
      <c r="W67" s="86"/>
      <c r="X67" s="86"/>
      <c r="Y67" s="86"/>
      <c r="Z67" s="86"/>
      <c r="AA67" s="86"/>
      <c r="AB67" s="86"/>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8"/>
      <c r="DQ67" s="58"/>
    </row>
    <row r="68" spans="1:121" s="54" customFormat="1" ht="3" customHeight="1">
      <c r="A68" s="55"/>
      <c r="B68" s="100"/>
      <c r="C68" s="94"/>
      <c r="D68" s="94"/>
      <c r="E68" s="105"/>
      <c r="F68" s="101"/>
      <c r="G68" s="101"/>
      <c r="H68" s="102"/>
      <c r="I68" s="85"/>
      <c r="J68" s="85"/>
      <c r="K68" s="85"/>
      <c r="L68" s="85"/>
      <c r="M68" s="85"/>
      <c r="N68" s="86"/>
      <c r="O68" s="86"/>
      <c r="P68" s="86"/>
      <c r="Q68" s="86"/>
      <c r="R68" s="86"/>
      <c r="S68" s="86"/>
      <c r="T68" s="86"/>
      <c r="U68" s="86"/>
      <c r="V68" s="86"/>
      <c r="W68" s="86"/>
      <c r="X68" s="86"/>
      <c r="Y68" s="86"/>
      <c r="Z68" s="86"/>
      <c r="AA68" s="86"/>
      <c r="AB68" s="86"/>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8"/>
      <c r="DQ68" s="58"/>
    </row>
    <row r="69" spans="1:121" s="54" customFormat="1">
      <c r="A69" s="55"/>
      <c r="B69" s="99" t="s">
        <v>182</v>
      </c>
      <c r="C69" s="94" t="s">
        <v>44</v>
      </c>
      <c r="D69" s="94"/>
      <c r="E69" s="101" t="s">
        <v>13</v>
      </c>
      <c r="F69" s="101" t="s">
        <v>10</v>
      </c>
      <c r="G69" s="101"/>
      <c r="H69" s="145">
        <v>53</v>
      </c>
      <c r="I69" s="103"/>
      <c r="J69" s="85"/>
      <c r="K69" s="85"/>
      <c r="L69" s="85"/>
      <c r="M69" s="85"/>
      <c r="N69" s="86"/>
      <c r="O69" s="86"/>
      <c r="P69" s="86"/>
      <c r="Q69" s="86"/>
      <c r="R69" s="86"/>
      <c r="S69" s="86"/>
      <c r="T69" s="86"/>
      <c r="U69" s="86"/>
      <c r="V69" s="86"/>
      <c r="W69" s="86"/>
      <c r="X69" s="86"/>
      <c r="Y69" s="86"/>
      <c r="Z69" s="86"/>
      <c r="AA69" s="86"/>
      <c r="AB69" s="86"/>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8"/>
      <c r="DQ69" s="58"/>
    </row>
    <row r="70" spans="1:121" s="54" customFormat="1" ht="3" customHeight="1">
      <c r="A70" s="55"/>
      <c r="B70" s="99"/>
      <c r="C70" s="94"/>
      <c r="D70" s="94"/>
      <c r="E70" s="101"/>
      <c r="F70" s="101"/>
      <c r="G70" s="101"/>
      <c r="H70" s="145"/>
      <c r="I70" s="103"/>
      <c r="J70" s="85"/>
      <c r="K70" s="85"/>
      <c r="L70" s="85"/>
      <c r="M70" s="85"/>
      <c r="N70" s="86"/>
      <c r="O70" s="86"/>
      <c r="P70" s="86"/>
      <c r="Q70" s="86"/>
      <c r="R70" s="86"/>
      <c r="S70" s="86"/>
      <c r="T70" s="86"/>
      <c r="U70" s="86"/>
      <c r="V70" s="86"/>
      <c r="W70" s="86"/>
      <c r="X70" s="86"/>
      <c r="Y70" s="86"/>
      <c r="Z70" s="86"/>
      <c r="AA70" s="86"/>
      <c r="AB70" s="86"/>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8"/>
      <c r="DQ70" s="58"/>
    </row>
    <row r="71" spans="1:121" s="54" customFormat="1">
      <c r="A71" s="55"/>
      <c r="B71" s="99" t="s">
        <v>183</v>
      </c>
      <c r="C71" s="94" t="s">
        <v>153</v>
      </c>
      <c r="D71" s="94" t="s">
        <v>522</v>
      </c>
      <c r="E71" s="101" t="s">
        <v>13</v>
      </c>
      <c r="F71" s="101" t="s">
        <v>10</v>
      </c>
      <c r="G71" s="101"/>
      <c r="H71" s="145">
        <v>365</v>
      </c>
      <c r="I71" s="103"/>
      <c r="J71" s="85"/>
      <c r="K71" s="85"/>
      <c r="L71" s="85"/>
      <c r="M71" s="85"/>
      <c r="N71" s="86"/>
      <c r="O71" s="86"/>
      <c r="P71" s="86"/>
      <c r="Q71" s="86"/>
      <c r="R71" s="86"/>
      <c r="S71" s="86"/>
      <c r="T71" s="86"/>
      <c r="U71" s="86"/>
      <c r="V71" s="86"/>
      <c r="W71" s="86"/>
      <c r="X71" s="86"/>
      <c r="Y71" s="86"/>
      <c r="Z71" s="86"/>
      <c r="AA71" s="86"/>
      <c r="AB71" s="86"/>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8"/>
      <c r="DQ71" s="58"/>
    </row>
    <row r="72" spans="1:121" s="54" customFormat="1" ht="3" customHeight="1">
      <c r="A72" s="55"/>
      <c r="B72" s="99"/>
      <c r="C72" s="94"/>
      <c r="D72" s="94"/>
      <c r="E72" s="101"/>
      <c r="F72" s="101"/>
      <c r="G72" s="101"/>
      <c r="H72" s="101"/>
      <c r="I72" s="85"/>
      <c r="J72" s="85"/>
      <c r="K72" s="85"/>
      <c r="L72" s="85"/>
      <c r="M72" s="85"/>
      <c r="N72" s="86"/>
      <c r="O72" s="86"/>
      <c r="P72" s="86"/>
      <c r="Q72" s="86"/>
      <c r="R72" s="86"/>
      <c r="S72" s="86"/>
      <c r="T72" s="86"/>
      <c r="U72" s="86"/>
      <c r="V72" s="86"/>
      <c r="W72" s="86"/>
      <c r="X72" s="86"/>
      <c r="Y72" s="86"/>
      <c r="Z72" s="86"/>
      <c r="AA72" s="86"/>
      <c r="AB72" s="86"/>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8"/>
      <c r="DQ72" s="58"/>
    </row>
    <row r="73" spans="1:121" s="54" customFormat="1" ht="17.25" customHeight="1">
      <c r="A73" s="55"/>
      <c r="B73" s="99" t="s">
        <v>76</v>
      </c>
      <c r="C73" s="94" t="s">
        <v>168</v>
      </c>
      <c r="D73" s="94" t="s">
        <v>395</v>
      </c>
      <c r="E73" s="92" t="s">
        <v>13</v>
      </c>
      <c r="F73" s="101" t="s">
        <v>116</v>
      </c>
      <c r="G73" s="92"/>
      <c r="H73" s="92">
        <v>1700</v>
      </c>
      <c r="I73" s="85"/>
      <c r="J73" s="85"/>
      <c r="K73" s="85"/>
      <c r="L73" s="85"/>
      <c r="M73" s="85"/>
      <c r="N73" s="86"/>
      <c r="O73" s="86"/>
      <c r="P73" s="86"/>
      <c r="Q73" s="86"/>
      <c r="R73" s="86"/>
      <c r="S73" s="86"/>
      <c r="T73" s="86"/>
      <c r="U73" s="86"/>
      <c r="V73" s="86"/>
      <c r="W73" s="86"/>
      <c r="X73" s="86"/>
      <c r="Y73" s="86"/>
      <c r="Z73" s="86"/>
      <c r="AA73" s="86"/>
      <c r="AB73" s="86"/>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8"/>
      <c r="DQ73" s="58"/>
    </row>
    <row r="74" spans="1:121" s="54" customFormat="1" ht="3" customHeight="1">
      <c r="A74" s="55"/>
      <c r="B74" s="99"/>
      <c r="C74" s="94"/>
      <c r="D74" s="84"/>
      <c r="E74" s="92"/>
      <c r="F74" s="101"/>
      <c r="G74" s="92"/>
      <c r="H74" s="92"/>
      <c r="I74" s="85"/>
      <c r="J74" s="85"/>
      <c r="K74" s="85"/>
      <c r="L74" s="85"/>
      <c r="M74" s="85"/>
      <c r="N74" s="86"/>
      <c r="O74" s="86"/>
      <c r="P74" s="86"/>
      <c r="Q74" s="86"/>
      <c r="R74" s="86"/>
      <c r="S74" s="86"/>
      <c r="T74" s="86"/>
      <c r="U74" s="86"/>
      <c r="V74" s="86"/>
      <c r="W74" s="86"/>
      <c r="X74" s="86"/>
      <c r="Y74" s="86"/>
      <c r="Z74" s="86"/>
      <c r="AA74" s="86"/>
      <c r="AB74" s="86"/>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8"/>
      <c r="DQ74" s="58"/>
    </row>
    <row r="75" spans="1:121" s="54" customFormat="1" ht="15">
      <c r="A75" s="55"/>
      <c r="B75" s="99" t="s">
        <v>165</v>
      </c>
      <c r="C75" s="94" t="s">
        <v>169</v>
      </c>
      <c r="D75" s="94" t="s">
        <v>395</v>
      </c>
      <c r="E75" s="92" t="s">
        <v>13</v>
      </c>
      <c r="F75" s="101" t="s">
        <v>116</v>
      </c>
      <c r="G75" s="92"/>
      <c r="H75" s="92">
        <v>1150</v>
      </c>
      <c r="I75" s="85"/>
      <c r="J75" s="85"/>
      <c r="K75" s="85"/>
      <c r="L75" s="85"/>
      <c r="M75" s="85"/>
      <c r="N75" s="86"/>
      <c r="O75" s="86"/>
      <c r="P75" s="86"/>
      <c r="Q75" s="86"/>
      <c r="R75" s="86"/>
      <c r="S75" s="86"/>
      <c r="T75" s="86"/>
      <c r="U75" s="86"/>
      <c r="V75" s="86"/>
      <c r="W75" s="86"/>
      <c r="X75" s="86"/>
      <c r="Y75" s="86"/>
      <c r="Z75" s="86"/>
      <c r="AA75" s="86"/>
      <c r="AB75" s="86"/>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8"/>
      <c r="DQ75" s="58"/>
    </row>
    <row r="76" spans="1:121" s="54" customFormat="1" ht="3" customHeight="1">
      <c r="A76" s="55"/>
      <c r="B76" s="99"/>
      <c r="C76" s="94"/>
      <c r="D76" s="84"/>
      <c r="E76" s="92"/>
      <c r="F76" s="101"/>
      <c r="G76" s="92"/>
      <c r="H76" s="92"/>
      <c r="I76" s="85"/>
      <c r="J76" s="85"/>
      <c r="K76" s="85"/>
      <c r="L76" s="85"/>
      <c r="M76" s="85"/>
      <c r="N76" s="86"/>
      <c r="O76" s="86"/>
      <c r="P76" s="86"/>
      <c r="Q76" s="86"/>
      <c r="R76" s="86"/>
      <c r="S76" s="86"/>
      <c r="T76" s="86"/>
      <c r="U76" s="86"/>
      <c r="V76" s="86"/>
      <c r="W76" s="86"/>
      <c r="X76" s="86"/>
      <c r="Y76" s="86"/>
      <c r="Z76" s="86"/>
      <c r="AA76" s="86"/>
      <c r="AB76" s="86"/>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8"/>
      <c r="DQ76" s="58"/>
    </row>
    <row r="77" spans="1:121" s="54" customFormat="1" ht="15">
      <c r="A77" s="55"/>
      <c r="B77" s="99" t="s">
        <v>80</v>
      </c>
      <c r="C77" s="106" t="s">
        <v>170</v>
      </c>
      <c r="D77" s="86" t="s">
        <v>475</v>
      </c>
      <c r="E77" s="92" t="s">
        <v>6</v>
      </c>
      <c r="F77" s="101" t="s">
        <v>172</v>
      </c>
      <c r="G77" s="92"/>
      <c r="H77" s="95"/>
      <c r="I77" s="85"/>
      <c r="J77" s="85"/>
      <c r="K77" s="85"/>
      <c r="L77" s="85"/>
      <c r="M77" s="85"/>
      <c r="N77" s="86"/>
      <c r="O77" s="86"/>
      <c r="P77" s="86"/>
      <c r="Q77" s="86"/>
      <c r="R77" s="86"/>
      <c r="S77" s="86"/>
      <c r="T77" s="86"/>
      <c r="U77" s="86"/>
      <c r="V77" s="86"/>
      <c r="W77" s="86"/>
      <c r="X77" s="86"/>
      <c r="Y77" s="86"/>
      <c r="Z77" s="86"/>
      <c r="AA77" s="86"/>
      <c r="AB77" s="86"/>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8"/>
      <c r="DQ77" s="58"/>
    </row>
    <row r="78" spans="1:121" s="52" customFormat="1" ht="3" customHeight="1">
      <c r="A78" s="55"/>
      <c r="B78" s="99"/>
      <c r="C78" s="106"/>
      <c r="D78" s="86"/>
      <c r="E78" s="83"/>
      <c r="F78" s="101"/>
      <c r="G78" s="83"/>
      <c r="H78" s="83"/>
      <c r="I78" s="86"/>
      <c r="J78" s="86"/>
      <c r="K78" s="86"/>
      <c r="L78" s="86"/>
      <c r="M78" s="85"/>
      <c r="N78" s="86"/>
      <c r="O78" s="86"/>
      <c r="P78" s="86"/>
      <c r="Q78" s="86"/>
      <c r="R78" s="86"/>
      <c r="S78" s="86"/>
      <c r="T78" s="86"/>
      <c r="U78" s="86"/>
      <c r="V78" s="86"/>
      <c r="W78" s="86"/>
      <c r="X78" s="86"/>
      <c r="Y78" s="86"/>
      <c r="Z78" s="86"/>
      <c r="AA78" s="86"/>
      <c r="AB78" s="86"/>
      <c r="DP78" s="58"/>
      <c r="DQ78" s="58"/>
    </row>
    <row r="79" spans="1:121" s="52" customFormat="1" ht="13.8">
      <c r="A79" s="55"/>
      <c r="B79" s="99" t="s">
        <v>154</v>
      </c>
      <c r="C79" s="106" t="s">
        <v>155</v>
      </c>
      <c r="D79" s="86" t="s">
        <v>475</v>
      </c>
      <c r="E79" s="101" t="s">
        <v>6</v>
      </c>
      <c r="F79" s="101" t="s">
        <v>407</v>
      </c>
      <c r="G79" s="101"/>
      <c r="H79" s="95"/>
      <c r="I79" s="86"/>
      <c r="J79" s="86"/>
      <c r="K79" s="86"/>
      <c r="L79" s="86"/>
      <c r="M79" s="85"/>
      <c r="N79" s="86"/>
      <c r="O79" s="86"/>
      <c r="P79" s="86"/>
      <c r="Q79" s="86"/>
      <c r="R79" s="86"/>
      <c r="S79" s="86"/>
      <c r="T79" s="86"/>
      <c r="U79" s="86"/>
      <c r="V79" s="86"/>
      <c r="W79" s="86"/>
      <c r="X79" s="86"/>
      <c r="Y79" s="86"/>
      <c r="Z79" s="86"/>
      <c r="AA79" s="86"/>
      <c r="AB79" s="86"/>
      <c r="DP79" s="58"/>
      <c r="DQ79" s="58"/>
    </row>
    <row r="80" spans="1:121" s="52" customFormat="1" ht="3" customHeight="1">
      <c r="A80" s="55"/>
      <c r="B80" s="99"/>
      <c r="C80" s="106"/>
      <c r="D80" s="161"/>
      <c r="E80" s="102"/>
      <c r="F80" s="101"/>
      <c r="G80" s="102"/>
      <c r="H80" s="83"/>
      <c r="I80" s="86"/>
      <c r="J80" s="86"/>
      <c r="K80" s="86"/>
      <c r="L80" s="86"/>
      <c r="M80" s="85"/>
      <c r="N80" s="86"/>
      <c r="O80" s="86"/>
      <c r="P80" s="86"/>
      <c r="Q80" s="86"/>
      <c r="R80" s="86"/>
      <c r="S80" s="86"/>
      <c r="T80" s="86"/>
      <c r="U80" s="86"/>
      <c r="V80" s="86"/>
      <c r="W80" s="86"/>
      <c r="X80" s="86"/>
      <c r="Y80" s="86"/>
      <c r="Z80" s="86"/>
      <c r="AA80" s="86"/>
      <c r="AB80" s="86"/>
      <c r="DP80" s="58"/>
      <c r="DQ80" s="58"/>
    </row>
    <row r="81" spans="1:121" s="54" customFormat="1" ht="13.8">
      <c r="A81" s="77"/>
      <c r="B81" s="99" t="s">
        <v>164</v>
      </c>
      <c r="C81" s="106" t="s">
        <v>163</v>
      </c>
      <c r="D81" s="86" t="s">
        <v>475</v>
      </c>
      <c r="E81" s="101" t="s">
        <v>6</v>
      </c>
      <c r="F81" s="101" t="s">
        <v>172</v>
      </c>
      <c r="G81" s="101"/>
      <c r="H81" s="95"/>
      <c r="I81" s="85"/>
      <c r="J81" s="85"/>
      <c r="K81" s="85"/>
      <c r="L81" s="85"/>
      <c r="M81" s="85"/>
      <c r="N81" s="85"/>
      <c r="O81" s="85"/>
      <c r="P81" s="85"/>
      <c r="Q81" s="85"/>
      <c r="R81" s="85"/>
      <c r="S81" s="85"/>
      <c r="T81" s="85"/>
      <c r="U81" s="85"/>
      <c r="V81" s="85"/>
      <c r="W81" s="85"/>
      <c r="X81" s="85"/>
      <c r="Y81" s="85"/>
      <c r="Z81" s="85"/>
      <c r="AA81" s="85"/>
      <c r="AB81" s="85"/>
      <c r="DP81" s="176"/>
      <c r="DQ81" s="176"/>
    </row>
    <row r="82" spans="1:121" s="52" customFormat="1" ht="3" customHeight="1">
      <c r="A82" s="55"/>
      <c r="B82" s="99"/>
      <c r="C82" s="106"/>
      <c r="D82" s="83"/>
      <c r="E82" s="83"/>
      <c r="F82" s="101"/>
      <c r="G82" s="83"/>
      <c r="H82" s="83"/>
      <c r="I82" s="86"/>
      <c r="J82" s="86"/>
      <c r="K82" s="86"/>
      <c r="L82" s="86"/>
      <c r="M82" s="85"/>
      <c r="N82" s="86"/>
      <c r="O82" s="86"/>
      <c r="P82" s="86"/>
      <c r="Q82" s="86"/>
      <c r="R82" s="86"/>
      <c r="S82" s="86"/>
      <c r="T82" s="86"/>
      <c r="U82" s="86"/>
      <c r="V82" s="86"/>
      <c r="W82" s="86"/>
      <c r="X82" s="86"/>
      <c r="Y82" s="86"/>
      <c r="Z82" s="86"/>
      <c r="AA82" s="86"/>
      <c r="AB82" s="86"/>
      <c r="DP82" s="58"/>
      <c r="DQ82" s="58"/>
    </row>
    <row r="83" spans="1:121" s="52" customFormat="1" ht="13.8">
      <c r="A83" s="55"/>
      <c r="B83" s="99" t="s">
        <v>156</v>
      </c>
      <c r="C83" s="106" t="s">
        <v>157</v>
      </c>
      <c r="D83" s="106"/>
      <c r="E83" s="101" t="s">
        <v>13</v>
      </c>
      <c r="F83" s="101" t="s">
        <v>408</v>
      </c>
      <c r="G83" s="101"/>
      <c r="H83" s="92">
        <v>15</v>
      </c>
      <c r="I83" s="86"/>
      <c r="J83" s="86"/>
      <c r="K83" s="86"/>
      <c r="L83" s="86"/>
      <c r="M83" s="85"/>
      <c r="N83" s="86"/>
      <c r="O83" s="86"/>
      <c r="P83" s="86"/>
      <c r="Q83" s="86"/>
      <c r="R83" s="86"/>
      <c r="S83" s="86"/>
      <c r="T83" s="86"/>
      <c r="U83" s="86"/>
      <c r="V83" s="86"/>
      <c r="W83" s="86"/>
      <c r="X83" s="86"/>
      <c r="Y83" s="86"/>
      <c r="Z83" s="86"/>
      <c r="AA83" s="86"/>
      <c r="AB83" s="86"/>
      <c r="DP83" s="58"/>
      <c r="DQ83" s="58"/>
    </row>
    <row r="84" spans="1:121" s="52" customFormat="1" ht="3" customHeight="1">
      <c r="A84" s="55"/>
      <c r="B84" s="99"/>
      <c r="C84" s="106"/>
      <c r="D84" s="83"/>
      <c r="E84" s="83"/>
      <c r="F84" s="101"/>
      <c r="G84" s="83"/>
      <c r="H84" s="83"/>
      <c r="I84" s="86"/>
      <c r="J84" s="86"/>
      <c r="K84" s="86"/>
      <c r="L84" s="86"/>
      <c r="M84" s="85"/>
      <c r="N84" s="86"/>
      <c r="O84" s="86"/>
      <c r="P84" s="86"/>
      <c r="Q84" s="86"/>
      <c r="R84" s="86"/>
      <c r="S84" s="86"/>
      <c r="T84" s="86"/>
      <c r="U84" s="86"/>
      <c r="V84" s="86"/>
      <c r="W84" s="86"/>
      <c r="X84" s="86"/>
      <c r="Y84" s="86"/>
      <c r="Z84" s="86"/>
      <c r="AA84" s="86"/>
      <c r="AB84" s="86"/>
      <c r="DP84" s="58"/>
      <c r="DQ84" s="58"/>
    </row>
    <row r="85" spans="1:121" s="52" customFormat="1" ht="15">
      <c r="A85" s="55"/>
      <c r="B85" s="99" t="s">
        <v>87</v>
      </c>
      <c r="C85" s="93" t="s">
        <v>86</v>
      </c>
      <c r="D85" s="83" t="s">
        <v>523</v>
      </c>
      <c r="E85" s="92" t="s">
        <v>13</v>
      </c>
      <c r="F85" s="101" t="s">
        <v>5</v>
      </c>
      <c r="G85" s="101"/>
      <c r="H85" s="92">
        <v>10</v>
      </c>
      <c r="I85" s="86"/>
      <c r="J85" s="86"/>
      <c r="K85" s="86"/>
      <c r="L85" s="86"/>
      <c r="M85" s="85"/>
      <c r="N85" s="86"/>
      <c r="O85" s="86"/>
      <c r="P85" s="86"/>
      <c r="Q85" s="86"/>
      <c r="R85" s="86"/>
      <c r="S85" s="86"/>
      <c r="T85" s="86"/>
      <c r="U85" s="86"/>
      <c r="V85" s="86"/>
      <c r="W85" s="86"/>
      <c r="X85" s="86"/>
      <c r="Y85" s="86"/>
      <c r="Z85" s="86"/>
      <c r="AA85" s="86"/>
      <c r="AB85" s="86"/>
      <c r="DP85" s="58"/>
      <c r="DQ85" s="58"/>
    </row>
    <row r="86" spans="1:121" s="52" customFormat="1">
      <c r="A86" s="55"/>
      <c r="B86" s="99"/>
      <c r="C86" s="93"/>
      <c r="D86" s="83"/>
      <c r="E86" s="92"/>
      <c r="F86" s="101"/>
      <c r="G86" s="101"/>
      <c r="H86" s="86"/>
      <c r="I86" s="86"/>
      <c r="J86" s="86"/>
      <c r="K86" s="86"/>
      <c r="L86" s="86"/>
      <c r="M86" s="85"/>
      <c r="N86" s="86"/>
      <c r="O86" s="86"/>
      <c r="P86" s="86"/>
      <c r="Q86" s="86"/>
      <c r="R86" s="86"/>
      <c r="S86" s="86"/>
      <c r="T86" s="86"/>
      <c r="U86" s="86"/>
      <c r="V86" s="86"/>
      <c r="W86" s="86"/>
      <c r="X86" s="86"/>
      <c r="Y86" s="86"/>
      <c r="Z86" s="86"/>
      <c r="AA86" s="86"/>
      <c r="AB86" s="86"/>
      <c r="DP86" s="58"/>
      <c r="DQ86" s="58"/>
    </row>
    <row r="87" spans="1:121" s="52" customFormat="1">
      <c r="A87" s="55"/>
      <c r="B87" s="334" t="s">
        <v>382</v>
      </c>
      <c r="C87" s="93"/>
      <c r="D87" s="83"/>
      <c r="E87" s="92"/>
      <c r="F87" s="101"/>
      <c r="G87" s="101"/>
      <c r="H87" s="86"/>
      <c r="I87" s="86"/>
      <c r="J87" s="86"/>
      <c r="K87" s="86"/>
      <c r="L87" s="86"/>
      <c r="M87" s="85"/>
      <c r="N87" s="86"/>
      <c r="O87" s="86"/>
      <c r="P87" s="86"/>
      <c r="Q87" s="86"/>
      <c r="R87" s="86"/>
      <c r="S87" s="86"/>
      <c r="T87" s="86"/>
      <c r="U87" s="86"/>
      <c r="V87" s="86"/>
      <c r="W87" s="86"/>
      <c r="X87" s="86"/>
      <c r="Y87" s="86"/>
      <c r="Z87" s="86"/>
      <c r="AA87" s="86"/>
      <c r="AB87" s="86"/>
      <c r="DP87" s="58"/>
      <c r="DQ87" s="58"/>
    </row>
    <row r="88" spans="1:121" s="52" customFormat="1" ht="3" customHeight="1">
      <c r="A88" s="55"/>
      <c r="B88" s="334"/>
      <c r="C88" s="93"/>
      <c r="D88" s="83"/>
      <c r="E88" s="92"/>
      <c r="F88" s="101"/>
      <c r="G88" s="101"/>
      <c r="H88" s="86"/>
      <c r="I88" s="86"/>
      <c r="J88" s="86"/>
      <c r="K88" s="86"/>
      <c r="L88" s="86"/>
      <c r="M88" s="85"/>
      <c r="N88" s="86"/>
      <c r="O88" s="86"/>
      <c r="P88" s="86"/>
      <c r="Q88" s="86"/>
      <c r="R88" s="86"/>
      <c r="S88" s="86"/>
      <c r="T88" s="86"/>
      <c r="U88" s="86"/>
      <c r="V88" s="86"/>
      <c r="W88" s="86"/>
      <c r="X88" s="86"/>
      <c r="Y88" s="86"/>
      <c r="Z88" s="86"/>
      <c r="AA88" s="86"/>
      <c r="AB88" s="86"/>
      <c r="DP88" s="58"/>
      <c r="DQ88" s="58"/>
    </row>
    <row r="89" spans="1:121" s="54" customFormat="1" ht="15">
      <c r="A89" s="55"/>
      <c r="B89" s="335" t="s">
        <v>74</v>
      </c>
      <c r="C89" s="94" t="s">
        <v>166</v>
      </c>
      <c r="D89" s="94" t="s">
        <v>335</v>
      </c>
      <c r="E89" s="92" t="s">
        <v>13</v>
      </c>
      <c r="F89" s="101" t="s">
        <v>48</v>
      </c>
      <c r="G89" s="92"/>
      <c r="H89" s="92">
        <v>0.05</v>
      </c>
      <c r="I89" s="85"/>
      <c r="J89" s="85"/>
      <c r="K89" s="85"/>
      <c r="L89" s="85"/>
      <c r="M89" s="85"/>
      <c r="N89" s="86"/>
      <c r="O89" s="86"/>
      <c r="P89" s="86"/>
      <c r="Q89" s="86"/>
      <c r="R89" s="86"/>
      <c r="S89" s="86"/>
      <c r="T89" s="86"/>
      <c r="U89" s="86"/>
      <c r="V89" s="86"/>
      <c r="W89" s="86"/>
      <c r="X89" s="86"/>
      <c r="Y89" s="86"/>
      <c r="Z89" s="86"/>
      <c r="AA89" s="86"/>
      <c r="AB89" s="86"/>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8"/>
      <c r="DQ89" s="58"/>
    </row>
    <row r="90" spans="1:121" s="52" customFormat="1" ht="3" customHeight="1">
      <c r="A90" s="55"/>
      <c r="B90" s="99"/>
      <c r="C90" s="94"/>
      <c r="D90" s="94"/>
      <c r="E90" s="92"/>
      <c r="F90" s="101"/>
      <c r="G90" s="101"/>
      <c r="H90" s="86"/>
      <c r="I90" s="86"/>
      <c r="J90" s="86"/>
      <c r="K90" s="86"/>
      <c r="L90" s="86"/>
      <c r="M90" s="85"/>
      <c r="N90" s="86"/>
      <c r="O90" s="86"/>
      <c r="P90" s="86"/>
      <c r="Q90" s="86"/>
      <c r="R90" s="86"/>
      <c r="S90" s="86"/>
      <c r="T90" s="86"/>
      <c r="U90" s="86"/>
      <c r="V90" s="86"/>
      <c r="W90" s="86"/>
      <c r="X90" s="86"/>
      <c r="Y90" s="86"/>
      <c r="Z90" s="86"/>
      <c r="AA90" s="86"/>
      <c r="AB90" s="86"/>
      <c r="DP90" s="58"/>
      <c r="DQ90" s="58"/>
    </row>
    <row r="91" spans="1:121" s="52" customFormat="1" ht="25.2">
      <c r="A91" s="55"/>
      <c r="B91" s="335" t="s">
        <v>454</v>
      </c>
      <c r="C91" s="333" t="s">
        <v>376</v>
      </c>
      <c r="D91" s="305" t="s">
        <v>476</v>
      </c>
      <c r="E91" s="92" t="s">
        <v>6</v>
      </c>
      <c r="F91" s="101" t="s">
        <v>10</v>
      </c>
      <c r="G91" s="101"/>
      <c r="H91" s="441"/>
      <c r="I91" s="86"/>
      <c r="J91" s="86"/>
      <c r="K91" s="86"/>
      <c r="L91" s="86"/>
      <c r="M91" s="85"/>
      <c r="N91" s="86"/>
      <c r="O91" s="86"/>
      <c r="P91" s="86"/>
      <c r="Q91" s="86"/>
      <c r="R91" s="86"/>
      <c r="S91" s="86"/>
      <c r="T91" s="86"/>
      <c r="U91" s="86"/>
      <c r="V91" s="86"/>
      <c r="W91" s="86"/>
      <c r="X91" s="86"/>
      <c r="Y91" s="86"/>
      <c r="Z91" s="86"/>
      <c r="AA91" s="86"/>
      <c r="AB91" s="86"/>
      <c r="DP91" s="58"/>
      <c r="DQ91" s="58"/>
    </row>
    <row r="92" spans="1:121" s="52" customFormat="1" ht="3" customHeight="1">
      <c r="A92" s="55"/>
      <c r="B92" s="335"/>
      <c r="C92" s="93"/>
      <c r="D92" s="83"/>
      <c r="E92" s="92"/>
      <c r="F92" s="101"/>
      <c r="G92" s="101"/>
      <c r="H92" s="86"/>
      <c r="I92" s="86"/>
      <c r="J92" s="86"/>
      <c r="K92" s="86"/>
      <c r="L92" s="86"/>
      <c r="M92" s="85"/>
      <c r="N92" s="86"/>
      <c r="O92" s="86"/>
      <c r="P92" s="86"/>
      <c r="Q92" s="86"/>
      <c r="R92" s="86"/>
      <c r="S92" s="86"/>
      <c r="T92" s="86"/>
      <c r="U92" s="86"/>
      <c r="V92" s="86"/>
      <c r="W92" s="86"/>
      <c r="X92" s="86"/>
      <c r="Y92" s="86"/>
      <c r="Z92" s="86"/>
      <c r="AA92" s="86"/>
      <c r="AB92" s="86"/>
      <c r="DP92" s="58"/>
      <c r="DQ92" s="58"/>
    </row>
    <row r="93" spans="1:121" s="52" customFormat="1" ht="25.2">
      <c r="A93" s="55"/>
      <c r="B93" s="335" t="s">
        <v>373</v>
      </c>
      <c r="C93" s="99" t="s">
        <v>378</v>
      </c>
      <c r="D93" s="83"/>
      <c r="E93" s="92" t="s">
        <v>6</v>
      </c>
      <c r="F93" s="101" t="s">
        <v>90</v>
      </c>
      <c r="G93" s="101"/>
      <c r="H93" s="441"/>
      <c r="I93" s="86"/>
      <c r="J93" s="86"/>
      <c r="K93" s="86"/>
      <c r="L93" s="86"/>
      <c r="M93" s="85"/>
      <c r="N93" s="86"/>
      <c r="O93" s="86"/>
      <c r="P93" s="86"/>
      <c r="Q93" s="86"/>
      <c r="R93" s="86"/>
      <c r="S93" s="86"/>
      <c r="T93" s="86"/>
      <c r="U93" s="86"/>
      <c r="V93" s="86"/>
      <c r="W93" s="86"/>
      <c r="X93" s="86"/>
      <c r="Y93" s="86"/>
      <c r="Z93" s="86"/>
      <c r="AA93" s="86"/>
      <c r="AB93" s="86"/>
      <c r="DP93" s="58"/>
      <c r="DQ93" s="58"/>
    </row>
    <row r="94" spans="1:121" s="52" customFormat="1" ht="3" customHeight="1">
      <c r="A94" s="55"/>
      <c r="B94" s="335"/>
      <c r="C94" s="93"/>
      <c r="D94" s="83"/>
      <c r="E94" s="92"/>
      <c r="F94" s="101"/>
      <c r="G94" s="101"/>
      <c r="H94" s="86"/>
      <c r="I94" s="86"/>
      <c r="J94" s="86"/>
      <c r="K94" s="86"/>
      <c r="L94" s="86"/>
      <c r="M94" s="85"/>
      <c r="N94" s="86"/>
      <c r="O94" s="86"/>
      <c r="P94" s="86"/>
      <c r="Q94" s="86"/>
      <c r="R94" s="86"/>
      <c r="S94" s="86"/>
      <c r="T94" s="86"/>
      <c r="U94" s="86"/>
      <c r="V94" s="86"/>
      <c r="W94" s="86"/>
      <c r="X94" s="86"/>
      <c r="Y94" s="86"/>
      <c r="Z94" s="86"/>
      <c r="AA94" s="86"/>
      <c r="AB94" s="86"/>
      <c r="DP94" s="58"/>
      <c r="DQ94" s="58"/>
    </row>
    <row r="95" spans="1:121" s="52" customFormat="1" ht="25.2">
      <c r="A95" s="55"/>
      <c r="B95" s="335" t="s">
        <v>383</v>
      </c>
      <c r="C95" s="99" t="s">
        <v>379</v>
      </c>
      <c r="D95" s="83"/>
      <c r="E95" s="92" t="s">
        <v>6</v>
      </c>
      <c r="F95" s="101" t="s">
        <v>90</v>
      </c>
      <c r="G95" s="101"/>
      <c r="H95" s="441"/>
      <c r="I95" s="86"/>
      <c r="J95" s="86"/>
      <c r="K95" s="86"/>
      <c r="L95" s="86"/>
      <c r="M95" s="85"/>
      <c r="N95" s="86"/>
      <c r="O95" s="86"/>
      <c r="P95" s="86"/>
      <c r="Q95" s="86"/>
      <c r="R95" s="86"/>
      <c r="S95" s="86"/>
      <c r="T95" s="86"/>
      <c r="U95" s="86"/>
      <c r="V95" s="86"/>
      <c r="W95" s="86"/>
      <c r="X95" s="86"/>
      <c r="Y95" s="86"/>
      <c r="Z95" s="86"/>
      <c r="AA95" s="86"/>
      <c r="AB95" s="86"/>
      <c r="DP95" s="58"/>
      <c r="DQ95" s="58"/>
    </row>
    <row r="96" spans="1:121" s="52" customFormat="1" ht="3" customHeight="1">
      <c r="A96" s="55"/>
      <c r="B96" s="335"/>
      <c r="C96" s="93"/>
      <c r="D96" s="83"/>
      <c r="E96" s="92"/>
      <c r="F96" s="92"/>
      <c r="G96" s="92"/>
      <c r="H96" s="83"/>
      <c r="I96" s="86"/>
      <c r="J96" s="86"/>
      <c r="K96" s="86"/>
      <c r="L96" s="86"/>
      <c r="M96" s="85"/>
      <c r="N96" s="86"/>
      <c r="O96" s="86"/>
      <c r="P96" s="86"/>
      <c r="Q96" s="86"/>
      <c r="R96" s="86"/>
      <c r="S96" s="86"/>
      <c r="T96" s="86"/>
      <c r="U96" s="86"/>
      <c r="V96" s="86"/>
      <c r="W96" s="86"/>
      <c r="X96" s="86"/>
      <c r="Y96" s="86"/>
      <c r="Z96" s="86"/>
      <c r="AA96" s="86"/>
      <c r="AB96" s="86"/>
      <c r="DP96" s="58"/>
      <c r="DQ96" s="58"/>
    </row>
    <row r="97" spans="1:121" s="52" customFormat="1" ht="25.2">
      <c r="A97" s="55"/>
      <c r="B97" s="335" t="s">
        <v>385</v>
      </c>
      <c r="C97" s="93" t="s">
        <v>388</v>
      </c>
      <c r="D97" s="83" t="s">
        <v>391</v>
      </c>
      <c r="E97" s="92" t="s">
        <v>8</v>
      </c>
      <c r="F97" s="101" t="s">
        <v>90</v>
      </c>
      <c r="G97" s="101"/>
      <c r="H97" s="142" t="str">
        <f>IF(ISNUMBER(DT50bio_soil_gr), IF(DT50bio_soil_gr=0,0,LN(2)/DT50bio_soil_gr),"??")</f>
        <v>??</v>
      </c>
      <c r="I97" s="161"/>
      <c r="J97" s="86"/>
      <c r="K97" s="86"/>
      <c r="L97" s="86"/>
      <c r="M97" s="85"/>
      <c r="N97" s="86"/>
      <c r="O97" s="86"/>
      <c r="P97" s="86"/>
      <c r="Q97" s="86"/>
      <c r="R97" s="86"/>
      <c r="S97" s="86"/>
      <c r="T97" s="86"/>
      <c r="U97" s="86"/>
      <c r="V97" s="86"/>
      <c r="W97" s="86"/>
      <c r="X97" s="86"/>
      <c r="Y97" s="86"/>
      <c r="Z97" s="86"/>
      <c r="AA97" s="86"/>
      <c r="AB97" s="86"/>
      <c r="DP97" s="58"/>
      <c r="DQ97" s="58"/>
    </row>
    <row r="98" spans="1:121" s="52" customFormat="1" ht="3" customHeight="1">
      <c r="A98" s="55"/>
      <c r="B98" s="335"/>
      <c r="C98" s="93"/>
      <c r="D98" s="83"/>
      <c r="E98" s="92"/>
      <c r="F98" s="101"/>
      <c r="G98" s="101"/>
      <c r="H98" s="105"/>
      <c r="I98" s="86"/>
      <c r="J98" s="86"/>
      <c r="K98" s="86"/>
      <c r="L98" s="86"/>
      <c r="M98" s="85"/>
      <c r="N98" s="86"/>
      <c r="O98" s="86"/>
      <c r="P98" s="86"/>
      <c r="Q98" s="86"/>
      <c r="R98" s="86"/>
      <c r="S98" s="86"/>
      <c r="T98" s="86"/>
      <c r="U98" s="86"/>
      <c r="V98" s="86"/>
      <c r="W98" s="86"/>
      <c r="X98" s="86"/>
      <c r="Y98" s="86"/>
      <c r="Z98" s="86"/>
      <c r="AA98" s="86"/>
      <c r="AB98" s="86"/>
      <c r="DP98" s="58"/>
      <c r="DQ98" s="58"/>
    </row>
    <row r="99" spans="1:121" ht="13.8">
      <c r="B99" s="336" t="s">
        <v>386</v>
      </c>
      <c r="C99" s="84" t="s">
        <v>380</v>
      </c>
      <c r="D99" s="83" t="s">
        <v>396</v>
      </c>
      <c r="E99" s="92" t="s">
        <v>8</v>
      </c>
      <c r="F99" s="101" t="s">
        <v>90</v>
      </c>
      <c r="G99" s="101"/>
      <c r="H99" s="142" t="str">
        <f>IF(AND(ISNUMBER(kvolat_gr),ISNUMBER(kleach_gr),ISNUMBER(kdeg_gr)),kvolat_gr+kleach_gr+kdeg_gr,"??")</f>
        <v>??</v>
      </c>
      <c r="I99" s="86"/>
      <c r="J99" s="86"/>
      <c r="K99" s="86"/>
      <c r="L99" s="86"/>
      <c r="M99" s="85"/>
      <c r="N99" s="86"/>
      <c r="O99" s="86"/>
      <c r="P99" s="86"/>
      <c r="Q99" s="86"/>
      <c r="R99" s="86"/>
      <c r="S99" s="86"/>
      <c r="T99" s="86"/>
      <c r="U99" s="86"/>
      <c r="V99" s="86"/>
      <c r="W99" s="86"/>
      <c r="X99" s="86"/>
      <c r="Y99" s="86"/>
      <c r="Z99" s="86"/>
      <c r="AA99" s="86"/>
      <c r="AB99" s="86"/>
    </row>
    <row r="100" spans="1:121" ht="3" customHeight="1">
      <c r="B100" s="93"/>
      <c r="C100" s="84"/>
      <c r="D100" s="83"/>
      <c r="E100" s="92"/>
      <c r="F100" s="101"/>
      <c r="G100" s="101"/>
      <c r="H100" s="105"/>
      <c r="I100" s="86"/>
      <c r="J100" s="86"/>
      <c r="K100" s="86"/>
      <c r="L100" s="86"/>
      <c r="M100" s="85"/>
      <c r="N100" s="86"/>
      <c r="O100" s="86"/>
      <c r="P100" s="86"/>
      <c r="Q100" s="86"/>
      <c r="R100" s="86"/>
      <c r="S100" s="86"/>
      <c r="T100" s="86"/>
      <c r="U100" s="86"/>
      <c r="V100" s="86"/>
      <c r="W100" s="86"/>
      <c r="X100" s="86"/>
      <c r="Y100" s="86"/>
      <c r="Z100" s="86"/>
      <c r="AA100" s="86"/>
      <c r="AB100" s="86"/>
    </row>
    <row r="101" spans="1:121" s="54" customFormat="1" ht="15">
      <c r="A101" s="55"/>
      <c r="B101" s="336" t="s">
        <v>72</v>
      </c>
      <c r="C101" s="84" t="s">
        <v>46</v>
      </c>
      <c r="D101" s="94" t="s">
        <v>187</v>
      </c>
      <c r="E101" s="92" t="s">
        <v>13</v>
      </c>
      <c r="F101" s="101" t="s">
        <v>71</v>
      </c>
      <c r="G101" s="101"/>
      <c r="H101" s="101">
        <v>170</v>
      </c>
      <c r="I101" s="85"/>
      <c r="J101" s="85"/>
      <c r="K101" s="85"/>
      <c r="L101" s="85"/>
      <c r="M101" s="85"/>
      <c r="N101" s="86"/>
      <c r="O101" s="86"/>
      <c r="P101" s="86"/>
      <c r="Q101" s="86"/>
      <c r="R101" s="86"/>
      <c r="S101" s="86"/>
      <c r="T101" s="86"/>
      <c r="U101" s="86"/>
      <c r="V101" s="86"/>
      <c r="W101" s="86"/>
      <c r="X101" s="86"/>
      <c r="Y101" s="86"/>
      <c r="Z101" s="86"/>
      <c r="AA101" s="86"/>
      <c r="AB101" s="86"/>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8"/>
      <c r="DQ101" s="58"/>
    </row>
    <row r="102" spans="1:121" s="54" customFormat="1">
      <c r="A102" s="55"/>
      <c r="B102" s="336"/>
      <c r="C102" s="84"/>
      <c r="D102" s="94"/>
      <c r="E102" s="92"/>
      <c r="F102" s="101"/>
      <c r="G102" s="101"/>
      <c r="H102" s="101"/>
      <c r="I102" s="85"/>
      <c r="J102" s="85"/>
      <c r="K102" s="85"/>
      <c r="L102" s="85"/>
      <c r="M102" s="85"/>
      <c r="N102" s="86"/>
      <c r="O102" s="86"/>
      <c r="P102" s="86"/>
      <c r="Q102" s="86"/>
      <c r="R102" s="86"/>
      <c r="S102" s="86"/>
      <c r="T102" s="86"/>
      <c r="U102" s="86"/>
      <c r="V102" s="86"/>
      <c r="W102" s="86"/>
      <c r="X102" s="86"/>
      <c r="Y102" s="86"/>
      <c r="Z102" s="86"/>
      <c r="AA102" s="86"/>
      <c r="AB102" s="86"/>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8"/>
      <c r="DQ102" s="58"/>
    </row>
    <row r="103" spans="1:121" s="54" customFormat="1">
      <c r="A103" s="55"/>
      <c r="B103" s="334" t="s">
        <v>384</v>
      </c>
      <c r="C103" s="93"/>
      <c r="D103" s="83"/>
      <c r="E103" s="92"/>
      <c r="F103" s="101"/>
      <c r="G103" s="101"/>
      <c r="H103" s="86"/>
      <c r="I103" s="85"/>
      <c r="J103" s="85"/>
      <c r="K103" s="85"/>
      <c r="L103" s="85"/>
      <c r="M103" s="85"/>
      <c r="N103" s="86"/>
      <c r="O103" s="86"/>
      <c r="P103" s="86"/>
      <c r="Q103" s="86"/>
      <c r="R103" s="86"/>
      <c r="S103" s="86"/>
      <c r="T103" s="86"/>
      <c r="U103" s="86"/>
      <c r="V103" s="86"/>
      <c r="W103" s="86"/>
      <c r="X103" s="86"/>
      <c r="Y103" s="86"/>
      <c r="Z103" s="86"/>
      <c r="AA103" s="86"/>
      <c r="AB103" s="86"/>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8"/>
      <c r="DQ103" s="58"/>
    </row>
    <row r="104" spans="1:121" s="54" customFormat="1" ht="3" customHeight="1">
      <c r="A104" s="55"/>
      <c r="B104" s="334"/>
      <c r="C104" s="93"/>
      <c r="D104" s="83"/>
      <c r="E104" s="92"/>
      <c r="F104" s="101"/>
      <c r="G104" s="101"/>
      <c r="H104" s="86"/>
      <c r="I104" s="85"/>
      <c r="J104" s="85"/>
      <c r="K104" s="85"/>
      <c r="L104" s="85"/>
      <c r="M104" s="85"/>
      <c r="N104" s="86"/>
      <c r="O104" s="86"/>
      <c r="P104" s="86"/>
      <c r="Q104" s="86"/>
      <c r="R104" s="86"/>
      <c r="S104" s="86"/>
      <c r="T104" s="86"/>
      <c r="U104" s="86"/>
      <c r="V104" s="86"/>
      <c r="W104" s="86"/>
      <c r="X104" s="86"/>
      <c r="Y104" s="86"/>
      <c r="Z104" s="86"/>
      <c r="AA104" s="86"/>
      <c r="AB104" s="86"/>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8"/>
      <c r="DQ104" s="58"/>
    </row>
    <row r="105" spans="1:121" s="54" customFormat="1" ht="15">
      <c r="A105" s="55"/>
      <c r="B105" s="335" t="s">
        <v>75</v>
      </c>
      <c r="C105" s="94" t="s">
        <v>167</v>
      </c>
      <c r="D105" s="94" t="s">
        <v>335</v>
      </c>
      <c r="E105" s="92" t="s">
        <v>13</v>
      </c>
      <c r="F105" s="92" t="s">
        <v>48</v>
      </c>
      <c r="G105" s="92"/>
      <c r="H105" s="104">
        <v>0.2</v>
      </c>
      <c r="I105" s="85"/>
      <c r="J105" s="85"/>
      <c r="K105" s="85"/>
      <c r="L105" s="85"/>
      <c r="M105" s="85"/>
      <c r="N105" s="86"/>
      <c r="O105" s="86"/>
      <c r="P105" s="86"/>
      <c r="Q105" s="86"/>
      <c r="R105" s="86"/>
      <c r="S105" s="86"/>
      <c r="T105" s="86"/>
      <c r="U105" s="86"/>
      <c r="V105" s="86"/>
      <c r="W105" s="86"/>
      <c r="X105" s="86"/>
      <c r="Y105" s="86"/>
      <c r="Z105" s="86"/>
      <c r="AA105" s="86"/>
      <c r="AB105" s="86"/>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8"/>
      <c r="DQ105" s="58"/>
    </row>
    <row r="106" spans="1:121" s="54" customFormat="1" ht="3" customHeight="1">
      <c r="A106" s="55"/>
      <c r="B106" s="99"/>
      <c r="C106" s="94"/>
      <c r="D106" s="94"/>
      <c r="E106" s="92"/>
      <c r="F106" s="101"/>
      <c r="G106" s="101"/>
      <c r="H106" s="86"/>
      <c r="I106" s="85"/>
      <c r="J106" s="85"/>
      <c r="K106" s="85"/>
      <c r="L106" s="85"/>
      <c r="M106" s="85"/>
      <c r="N106" s="86"/>
      <c r="O106" s="86"/>
      <c r="P106" s="86"/>
      <c r="Q106" s="86"/>
      <c r="R106" s="86"/>
      <c r="S106" s="86"/>
      <c r="T106" s="86"/>
      <c r="U106" s="86"/>
      <c r="V106" s="86"/>
      <c r="W106" s="86"/>
      <c r="X106" s="86"/>
      <c r="Y106" s="86"/>
      <c r="Z106" s="86"/>
      <c r="AA106" s="86"/>
      <c r="AB106" s="86"/>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8"/>
      <c r="DQ106" s="58"/>
    </row>
    <row r="107" spans="1:121" s="54" customFormat="1" ht="26.4">
      <c r="A107" s="55"/>
      <c r="B107" s="335" t="s">
        <v>509</v>
      </c>
      <c r="C107" s="333" t="s">
        <v>398</v>
      </c>
      <c r="D107" s="305" t="s">
        <v>477</v>
      </c>
      <c r="E107" s="92" t="s">
        <v>6</v>
      </c>
      <c r="F107" s="101" t="s">
        <v>10</v>
      </c>
      <c r="G107" s="101"/>
      <c r="H107" s="441"/>
      <c r="I107" s="85"/>
      <c r="J107" s="85"/>
      <c r="K107" s="85"/>
      <c r="L107" s="85"/>
      <c r="M107" s="85"/>
      <c r="N107" s="86"/>
      <c r="O107" s="86"/>
      <c r="P107" s="86"/>
      <c r="Q107" s="86"/>
      <c r="R107" s="86"/>
      <c r="S107" s="86"/>
      <c r="T107" s="86"/>
      <c r="U107" s="86"/>
      <c r="V107" s="86"/>
      <c r="W107" s="86"/>
      <c r="X107" s="86"/>
      <c r="Y107" s="86"/>
      <c r="Z107" s="86"/>
      <c r="AA107" s="86"/>
      <c r="AB107" s="86"/>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8"/>
      <c r="DQ107" s="58"/>
    </row>
    <row r="108" spans="1:121" s="54" customFormat="1" ht="3" customHeight="1">
      <c r="A108" s="55"/>
      <c r="B108" s="335"/>
      <c r="C108" s="93"/>
      <c r="D108" s="83"/>
      <c r="E108" s="92"/>
      <c r="F108" s="101"/>
      <c r="G108" s="101"/>
      <c r="H108" s="86"/>
      <c r="I108" s="85"/>
      <c r="J108" s="85"/>
      <c r="K108" s="85"/>
      <c r="L108" s="85"/>
      <c r="M108" s="85"/>
      <c r="N108" s="86"/>
      <c r="O108" s="86"/>
      <c r="P108" s="86"/>
      <c r="Q108" s="86"/>
      <c r="R108" s="86"/>
      <c r="S108" s="86"/>
      <c r="T108" s="86"/>
      <c r="U108" s="86"/>
      <c r="V108" s="86"/>
      <c r="W108" s="86"/>
      <c r="X108" s="86"/>
      <c r="Y108" s="86"/>
      <c r="Z108" s="86"/>
      <c r="AA108" s="86"/>
      <c r="AB108" s="86"/>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8"/>
      <c r="DQ108" s="58"/>
    </row>
    <row r="109" spans="1:121" s="54" customFormat="1" ht="25.2">
      <c r="A109" s="55"/>
      <c r="B109" s="335" t="s">
        <v>381</v>
      </c>
      <c r="C109" s="99" t="s">
        <v>374</v>
      </c>
      <c r="D109" s="83"/>
      <c r="E109" s="92" t="s">
        <v>6</v>
      </c>
      <c r="F109" s="101" t="s">
        <v>90</v>
      </c>
      <c r="G109" s="101"/>
      <c r="H109" s="441"/>
      <c r="I109" s="85"/>
      <c r="J109" s="85"/>
      <c r="K109" s="85"/>
      <c r="L109" s="85"/>
      <c r="M109" s="85"/>
      <c r="N109" s="86"/>
      <c r="O109" s="86"/>
      <c r="P109" s="86"/>
      <c r="Q109" s="86"/>
      <c r="R109" s="86"/>
      <c r="S109" s="86"/>
      <c r="T109" s="86"/>
      <c r="U109" s="86"/>
      <c r="V109" s="86"/>
      <c r="W109" s="86"/>
      <c r="X109" s="86"/>
      <c r="Y109" s="86"/>
      <c r="Z109" s="86"/>
      <c r="AA109" s="86"/>
      <c r="AB109" s="86"/>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8"/>
      <c r="DQ109" s="58"/>
    </row>
    <row r="110" spans="1:121" s="54" customFormat="1" ht="3" customHeight="1">
      <c r="A110" s="55"/>
      <c r="B110" s="335"/>
      <c r="C110" s="93"/>
      <c r="D110" s="83"/>
      <c r="E110" s="92"/>
      <c r="F110" s="101"/>
      <c r="G110" s="101"/>
      <c r="H110" s="86"/>
      <c r="I110" s="85"/>
      <c r="J110" s="85"/>
      <c r="K110" s="85"/>
      <c r="L110" s="85"/>
      <c r="M110" s="85"/>
      <c r="N110" s="86"/>
      <c r="O110" s="86"/>
      <c r="P110" s="86"/>
      <c r="Q110" s="86"/>
      <c r="R110" s="86"/>
      <c r="S110" s="86"/>
      <c r="T110" s="86"/>
      <c r="U110" s="86"/>
      <c r="V110" s="86"/>
      <c r="W110" s="86"/>
      <c r="X110" s="86"/>
      <c r="Y110" s="86"/>
      <c r="Z110" s="86"/>
      <c r="AA110" s="86"/>
      <c r="AB110" s="86"/>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8"/>
      <c r="DQ110" s="58"/>
    </row>
    <row r="111" spans="1:121" s="54" customFormat="1" ht="25.2">
      <c r="A111" s="55"/>
      <c r="B111" s="335" t="s">
        <v>392</v>
      </c>
      <c r="C111" s="99" t="s">
        <v>375</v>
      </c>
      <c r="D111" s="83"/>
      <c r="E111" s="92" t="s">
        <v>6</v>
      </c>
      <c r="F111" s="101" t="s">
        <v>90</v>
      </c>
      <c r="G111" s="101"/>
      <c r="H111" s="441"/>
      <c r="I111" s="85"/>
      <c r="J111" s="85"/>
      <c r="K111" s="85"/>
      <c r="L111" s="85"/>
      <c r="M111" s="85"/>
      <c r="N111" s="86"/>
      <c r="O111" s="86"/>
      <c r="P111" s="86"/>
      <c r="Q111" s="86"/>
      <c r="R111" s="86"/>
      <c r="S111" s="86"/>
      <c r="T111" s="86"/>
      <c r="U111" s="86"/>
      <c r="V111" s="86"/>
      <c r="W111" s="86"/>
      <c r="X111" s="86"/>
      <c r="Y111" s="86"/>
      <c r="Z111" s="86"/>
      <c r="AA111" s="86"/>
      <c r="AB111" s="86"/>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8"/>
      <c r="DQ111" s="58"/>
    </row>
    <row r="112" spans="1:121" s="54" customFormat="1" ht="3" customHeight="1">
      <c r="A112" s="55"/>
      <c r="B112" s="335"/>
      <c r="C112" s="93"/>
      <c r="D112" s="83"/>
      <c r="E112" s="92"/>
      <c r="F112" s="92"/>
      <c r="G112" s="92"/>
      <c r="H112" s="83"/>
      <c r="I112" s="85"/>
      <c r="J112" s="85"/>
      <c r="K112" s="85"/>
      <c r="L112" s="85"/>
      <c r="M112" s="85"/>
      <c r="N112" s="86"/>
      <c r="O112" s="86"/>
      <c r="P112" s="86"/>
      <c r="Q112" s="86"/>
      <c r="R112" s="86"/>
      <c r="S112" s="86"/>
      <c r="T112" s="86"/>
      <c r="U112" s="86"/>
      <c r="V112" s="86"/>
      <c r="W112" s="86"/>
      <c r="X112" s="86"/>
      <c r="Y112" s="86"/>
      <c r="Z112" s="86"/>
      <c r="AA112" s="86"/>
      <c r="AB112" s="86"/>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8"/>
      <c r="DQ112" s="58"/>
    </row>
    <row r="113" spans="1:121" s="54" customFormat="1" ht="25.2">
      <c r="A113" s="55"/>
      <c r="B113" s="335" t="s">
        <v>400</v>
      </c>
      <c r="C113" s="93" t="s">
        <v>389</v>
      </c>
      <c r="D113" s="83" t="s">
        <v>399</v>
      </c>
      <c r="E113" s="92" t="s">
        <v>8</v>
      </c>
      <c r="F113" s="101" t="s">
        <v>90</v>
      </c>
      <c r="G113" s="101"/>
      <c r="H113" s="142" t="str">
        <f>IF(ISNUMBER(DT50bio_soil_ar), IF(DT50bio_soil_ar=0,0,LN(2)/DT50bio_soil_ar),"??")</f>
        <v>??</v>
      </c>
      <c r="I113" s="85"/>
      <c r="J113" s="85"/>
      <c r="K113" s="85"/>
      <c r="L113" s="85"/>
      <c r="M113" s="85"/>
      <c r="N113" s="86"/>
      <c r="O113" s="86"/>
      <c r="P113" s="86"/>
      <c r="Q113" s="86"/>
      <c r="R113" s="86"/>
      <c r="S113" s="86"/>
      <c r="T113" s="86"/>
      <c r="U113" s="86"/>
      <c r="V113" s="86"/>
      <c r="W113" s="86"/>
      <c r="X113" s="86"/>
      <c r="Y113" s="86"/>
      <c r="Z113" s="86"/>
      <c r="AA113" s="86"/>
      <c r="AB113" s="86"/>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8"/>
      <c r="DQ113" s="58"/>
    </row>
    <row r="114" spans="1:121" s="54" customFormat="1" ht="3" customHeight="1">
      <c r="A114" s="55"/>
      <c r="B114" s="335"/>
      <c r="C114" s="93"/>
      <c r="D114" s="83"/>
      <c r="E114" s="92"/>
      <c r="F114" s="101"/>
      <c r="G114" s="101"/>
      <c r="H114" s="105"/>
      <c r="I114" s="85"/>
      <c r="J114" s="85"/>
      <c r="K114" s="85"/>
      <c r="L114" s="85"/>
      <c r="M114" s="85"/>
      <c r="N114" s="86"/>
      <c r="O114" s="86"/>
      <c r="P114" s="86"/>
      <c r="Q114" s="86"/>
      <c r="R114" s="86"/>
      <c r="S114" s="86"/>
      <c r="T114" s="86"/>
      <c r="U114" s="86"/>
      <c r="V114" s="86"/>
      <c r="W114" s="86"/>
      <c r="X114" s="86"/>
      <c r="Y114" s="86"/>
      <c r="Z114" s="86"/>
      <c r="AA114" s="86"/>
      <c r="AB114" s="86"/>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8"/>
      <c r="DQ114" s="58"/>
    </row>
    <row r="115" spans="1:121" s="54" customFormat="1" ht="13.8">
      <c r="A115" s="55"/>
      <c r="B115" s="336" t="s">
        <v>394</v>
      </c>
      <c r="C115" s="84" t="s">
        <v>387</v>
      </c>
      <c r="D115" s="83" t="s">
        <v>397</v>
      </c>
      <c r="E115" s="92" t="s">
        <v>8</v>
      </c>
      <c r="F115" s="101" t="s">
        <v>90</v>
      </c>
      <c r="G115" s="101"/>
      <c r="H115" s="142" t="str">
        <f>IF(AND(ISNUMBER(kvolat_ar),ISNUMBER(kleach_ar),ISNUMBER(kdeg_ar)),kvolat_ar+kleach_ar+kdeg_ar,"??")</f>
        <v>??</v>
      </c>
      <c r="I115" s="85"/>
      <c r="J115" s="85"/>
      <c r="K115" s="85"/>
      <c r="L115" s="85"/>
      <c r="M115" s="85"/>
      <c r="N115" s="86"/>
      <c r="O115" s="86"/>
      <c r="P115" s="86"/>
      <c r="Q115" s="86"/>
      <c r="R115" s="86"/>
      <c r="S115" s="86"/>
      <c r="T115" s="86"/>
      <c r="U115" s="86"/>
      <c r="V115" s="86"/>
      <c r="W115" s="86"/>
      <c r="X115" s="86"/>
      <c r="Y115" s="86"/>
      <c r="Z115" s="86"/>
      <c r="AA115" s="86"/>
      <c r="AB115" s="86"/>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8"/>
      <c r="DQ115" s="58"/>
    </row>
    <row r="116" spans="1:121" s="54" customFormat="1" ht="3" customHeight="1">
      <c r="A116" s="55"/>
      <c r="B116" s="93"/>
      <c r="C116" s="84"/>
      <c r="D116" s="84"/>
      <c r="E116" s="92"/>
      <c r="F116" s="101"/>
      <c r="G116" s="101"/>
      <c r="H116" s="105"/>
      <c r="I116" s="85"/>
      <c r="J116" s="85"/>
      <c r="K116" s="85"/>
      <c r="L116" s="85"/>
      <c r="M116" s="85"/>
      <c r="N116" s="86"/>
      <c r="O116" s="86"/>
      <c r="P116" s="86"/>
      <c r="Q116" s="86"/>
      <c r="R116" s="86"/>
      <c r="S116" s="86"/>
      <c r="T116" s="86"/>
      <c r="U116" s="86"/>
      <c r="V116" s="86"/>
      <c r="W116" s="86"/>
      <c r="X116" s="86"/>
      <c r="Y116" s="86"/>
      <c r="Z116" s="86"/>
      <c r="AA116" s="86"/>
      <c r="AB116" s="86"/>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8"/>
      <c r="DQ116" s="58"/>
    </row>
    <row r="117" spans="1:121" s="54" customFormat="1" ht="15" customHeight="1">
      <c r="A117" s="55"/>
      <c r="B117" s="336" t="s">
        <v>73</v>
      </c>
      <c r="C117" s="84" t="s">
        <v>47</v>
      </c>
      <c r="D117" s="94" t="s">
        <v>187</v>
      </c>
      <c r="E117" s="92" t="s">
        <v>13</v>
      </c>
      <c r="F117" s="101" t="s">
        <v>71</v>
      </c>
      <c r="G117" s="101"/>
      <c r="H117" s="101">
        <v>170</v>
      </c>
      <c r="I117" s="85"/>
      <c r="J117" s="85"/>
      <c r="K117" s="85"/>
      <c r="L117" s="85"/>
      <c r="M117" s="85"/>
      <c r="N117" s="86"/>
      <c r="O117" s="86"/>
      <c r="P117" s="86"/>
      <c r="Q117" s="86"/>
      <c r="R117" s="86"/>
      <c r="S117" s="86"/>
      <c r="T117" s="86"/>
      <c r="U117" s="86"/>
      <c r="V117" s="86"/>
      <c r="W117" s="86"/>
      <c r="X117" s="86"/>
      <c r="Y117" s="86"/>
      <c r="Z117" s="86"/>
      <c r="AA117" s="86"/>
      <c r="AB117" s="86"/>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8"/>
      <c r="DQ117" s="58"/>
    </row>
    <row r="118" spans="1:121" s="54" customFormat="1">
      <c r="A118" s="55"/>
      <c r="B118" s="93"/>
      <c r="C118" s="84"/>
      <c r="D118" s="94"/>
      <c r="E118" s="92"/>
      <c r="F118" s="101"/>
      <c r="G118" s="101"/>
      <c r="H118" s="101"/>
      <c r="I118" s="280"/>
      <c r="J118" s="85"/>
      <c r="K118" s="85"/>
      <c r="L118" s="85"/>
      <c r="M118" s="85"/>
      <c r="N118" s="86"/>
      <c r="O118" s="86"/>
      <c r="P118" s="86"/>
      <c r="Q118" s="86"/>
      <c r="R118" s="86"/>
      <c r="S118" s="86"/>
      <c r="T118" s="86"/>
      <c r="U118" s="86"/>
      <c r="V118" s="86"/>
      <c r="W118" s="86"/>
      <c r="X118" s="86"/>
      <c r="Y118" s="86"/>
      <c r="Z118" s="86"/>
      <c r="AA118" s="86"/>
      <c r="AB118" s="86"/>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8"/>
      <c r="DQ118" s="58"/>
    </row>
    <row r="119" spans="1:121" s="55" customFormat="1" ht="126.75" customHeight="1">
      <c r="B119" s="106" t="s">
        <v>112</v>
      </c>
      <c r="C119" s="93" t="s">
        <v>101</v>
      </c>
      <c r="D119" s="83" t="s">
        <v>188</v>
      </c>
      <c r="E119" s="107"/>
      <c r="F119" s="107"/>
      <c r="G119" s="107"/>
      <c r="H119" s="107"/>
      <c r="I119" s="170" t="s">
        <v>15</v>
      </c>
      <c r="J119" s="170" t="s">
        <v>91</v>
      </c>
      <c r="K119" s="170" t="s">
        <v>14</v>
      </c>
      <c r="L119" s="170" t="s">
        <v>92</v>
      </c>
      <c r="M119" s="170" t="s">
        <v>16</v>
      </c>
      <c r="N119" s="170" t="s">
        <v>17</v>
      </c>
      <c r="O119" s="170" t="s">
        <v>18</v>
      </c>
      <c r="P119" s="170" t="s">
        <v>19</v>
      </c>
      <c r="Q119" s="170" t="s">
        <v>20</v>
      </c>
      <c r="R119" s="170" t="s">
        <v>21</v>
      </c>
      <c r="S119" s="170" t="s">
        <v>52</v>
      </c>
      <c r="T119" s="170" t="s">
        <v>22</v>
      </c>
      <c r="U119" s="170" t="s">
        <v>23</v>
      </c>
      <c r="V119" s="170" t="s">
        <v>24</v>
      </c>
      <c r="W119" s="170" t="s">
        <v>25</v>
      </c>
      <c r="X119" s="170" t="s">
        <v>26</v>
      </c>
      <c r="Y119" s="170" t="s">
        <v>27</v>
      </c>
      <c r="Z119" s="170" t="s">
        <v>28</v>
      </c>
      <c r="AA119" s="170" t="s">
        <v>29</v>
      </c>
      <c r="AB119" s="170" t="s">
        <v>30</v>
      </c>
    </row>
    <row r="120" spans="1:121" s="52" customFormat="1" ht="14.4">
      <c r="B120" s="111" t="s">
        <v>100</v>
      </c>
      <c r="C120" s="90" t="s">
        <v>97</v>
      </c>
      <c r="D120" s="94" t="s">
        <v>544</v>
      </c>
      <c r="E120" s="98" t="s">
        <v>13</v>
      </c>
      <c r="F120" s="98" t="s">
        <v>98</v>
      </c>
      <c r="G120" s="98"/>
      <c r="H120" s="98"/>
      <c r="I120" s="169">
        <f>'Pick-lists &amp; Defaults'!L16</f>
        <v>0.33889999999999998</v>
      </c>
      <c r="J120" s="169">
        <f>'Pick-lists &amp; Defaults'!L17</f>
        <v>0.14316000000000001</v>
      </c>
      <c r="K120" s="169">
        <f>'Pick-lists &amp; Defaults'!L18</f>
        <v>0.28819</v>
      </c>
      <c r="L120" s="169">
        <f>'Pick-lists &amp; Defaults'!L19</f>
        <v>0.12862999999999999</v>
      </c>
      <c r="M120" s="169">
        <f>'Pick-lists &amp; Defaults'!L20</f>
        <v>2.3820000000000001E-2</v>
      </c>
      <c r="N120" s="169">
        <f>'Pick-lists &amp; Defaults'!L21</f>
        <v>7.1059999999999998E-2</v>
      </c>
      <c r="O120" s="169">
        <f>'Pick-lists &amp; Defaults'!L22</f>
        <v>7.1059999999999998E-2</v>
      </c>
      <c r="P120" s="169">
        <f>'Pick-lists &amp; Defaults'!L23</f>
        <v>3.0429999999999999E-2</v>
      </c>
      <c r="Q120" s="169">
        <f>'Pick-lists &amp; Defaults'!L24</f>
        <v>2.0200000000000001E-3</v>
      </c>
      <c r="R120" s="169">
        <f>'Pick-lists &amp; Defaults'!L25</f>
        <v>1.81E-3</v>
      </c>
      <c r="S120" s="169">
        <f>'Pick-lists &amp; Defaults'!L26</f>
        <v>1.81E-3</v>
      </c>
      <c r="T120" s="169">
        <f>'Pick-lists &amp; Defaults'!L27</f>
        <v>1.81E-3</v>
      </c>
      <c r="U120" s="169">
        <f>'Pick-lists &amp; Defaults'!L28</f>
        <v>1.7099999999999999E-3</v>
      </c>
      <c r="V120" s="169">
        <f>'Pick-lists &amp; Defaults'!L29</f>
        <v>1.56E-3</v>
      </c>
      <c r="W120" s="169">
        <f>'Pick-lists &amp; Defaults'!L30</f>
        <v>1.7099999999999999E-3</v>
      </c>
      <c r="X120" s="169">
        <f>'Pick-lists &amp; Defaults'!L31</f>
        <v>2.98E-3</v>
      </c>
      <c r="Y120" s="169">
        <f>'Pick-lists &amp; Defaults'!L32</f>
        <v>1.3699999999999999E-3</v>
      </c>
      <c r="Z120" s="169">
        <f>'Pick-lists &amp; Defaults'!L33</f>
        <v>4.8199999999999996E-3</v>
      </c>
      <c r="AA120" s="169">
        <f>'Pick-lists &amp; Defaults'!L34</f>
        <v>2.7399999999999998E-3</v>
      </c>
      <c r="AB120" s="169">
        <f>'Pick-lists &amp; Defaults'!L35</f>
        <v>4.8199999999999996E-3</v>
      </c>
    </row>
    <row r="121" spans="1:121" s="52" customFormat="1" ht="5.0999999999999996" customHeight="1">
      <c r="B121" s="111"/>
      <c r="C121" s="90"/>
      <c r="D121" s="86"/>
      <c r="E121" s="97"/>
      <c r="F121" s="98"/>
      <c r="G121" s="98"/>
      <c r="H121" s="98"/>
      <c r="I121" s="188"/>
      <c r="J121" s="188"/>
      <c r="K121" s="188"/>
      <c r="L121" s="188"/>
      <c r="M121" s="188"/>
      <c r="N121" s="188"/>
      <c r="O121" s="188"/>
      <c r="P121" s="188"/>
      <c r="Q121" s="188"/>
      <c r="R121" s="188"/>
      <c r="S121" s="188"/>
      <c r="T121" s="188"/>
      <c r="U121" s="188"/>
      <c r="V121" s="188"/>
      <c r="W121" s="188"/>
      <c r="X121" s="188"/>
      <c r="Y121" s="188"/>
      <c r="Z121" s="188"/>
      <c r="AA121" s="188"/>
      <c r="AB121" s="188"/>
    </row>
    <row r="122" spans="1:121" s="52" customFormat="1" ht="14.4">
      <c r="B122" s="96" t="s">
        <v>96</v>
      </c>
      <c r="C122" s="110" t="s">
        <v>45</v>
      </c>
      <c r="D122" s="94" t="s">
        <v>190</v>
      </c>
      <c r="E122" s="98" t="s">
        <v>13</v>
      </c>
      <c r="F122" s="101" t="s">
        <v>5</v>
      </c>
      <c r="G122" s="101"/>
      <c r="H122" s="97"/>
      <c r="I122" s="169">
        <f>'Pick-lists &amp; Defaults'!C16</f>
        <v>100</v>
      </c>
      <c r="J122" s="169">
        <f>'Pick-lists &amp; Defaults'!C17</f>
        <v>100</v>
      </c>
      <c r="K122" s="169">
        <f>'Pick-lists &amp; Defaults'!C18</f>
        <v>125</v>
      </c>
      <c r="L122" s="169">
        <f>'Pick-lists &amp; Defaults'!C19</f>
        <v>125</v>
      </c>
      <c r="M122" s="169">
        <f>'Pick-lists &amp; Defaults'!C20</f>
        <v>80</v>
      </c>
      <c r="N122" s="169">
        <f>'Pick-lists &amp; Defaults'!C21</f>
        <v>132</v>
      </c>
      <c r="O122" s="169">
        <f>'Pick-lists &amp; Defaults'!C22</f>
        <v>132</v>
      </c>
      <c r="P122" s="169">
        <f>'Pick-lists &amp; Defaults'!C23</f>
        <v>400</v>
      </c>
      <c r="Q122" s="169">
        <f>'Pick-lists &amp; Defaults'!C24</f>
        <v>21000</v>
      </c>
      <c r="R122" s="169">
        <f>'Pick-lists &amp; Defaults'!C25</f>
        <v>21000</v>
      </c>
      <c r="S122" s="169">
        <f>'Pick-lists &amp; Defaults'!C26</f>
        <v>21000</v>
      </c>
      <c r="T122" s="169">
        <f>'Pick-lists &amp; Defaults'!C27</f>
        <v>21000</v>
      </c>
      <c r="U122" s="169">
        <f>'Pick-lists &amp; Defaults'!C28</f>
        <v>10000</v>
      </c>
      <c r="V122" s="169">
        <f>'Pick-lists &amp; Defaults'!C29</f>
        <v>20000</v>
      </c>
      <c r="W122" s="169">
        <f>'Pick-lists &amp; Defaults'!C30</f>
        <v>20000</v>
      </c>
      <c r="X122" s="169">
        <f>'Pick-lists &amp; Defaults'!C31</f>
        <v>7000</v>
      </c>
      <c r="Y122" s="169">
        <f>'Pick-lists &amp; Defaults'!C32</f>
        <v>9000</v>
      </c>
      <c r="Z122" s="169">
        <f>'Pick-lists &amp; Defaults'!C33</f>
        <v>10000</v>
      </c>
      <c r="AA122" s="169">
        <f>'Pick-lists &amp; Defaults'!C34</f>
        <v>10000</v>
      </c>
      <c r="AB122" s="169">
        <f>'Pick-lists &amp; Defaults'!C35</f>
        <v>10000</v>
      </c>
    </row>
    <row r="123" spans="1:121" s="54" customFormat="1">
      <c r="A123" s="55"/>
      <c r="B123" s="93"/>
      <c r="C123" s="84"/>
      <c r="D123" s="84"/>
      <c r="E123" s="92"/>
      <c r="F123" s="92"/>
      <c r="G123" s="92"/>
      <c r="H123" s="92"/>
      <c r="I123" s="92"/>
      <c r="J123" s="106"/>
      <c r="K123" s="106"/>
      <c r="L123" s="106"/>
      <c r="M123" s="106"/>
      <c r="N123" s="83"/>
      <c r="O123" s="83"/>
      <c r="P123" s="83"/>
      <c r="Q123" s="83"/>
      <c r="R123" s="83"/>
      <c r="S123" s="83"/>
      <c r="T123" s="83"/>
      <c r="U123" s="83"/>
      <c r="V123" s="83"/>
      <c r="W123" s="83"/>
      <c r="X123" s="83"/>
      <c r="Y123" s="83"/>
      <c r="Z123" s="83"/>
      <c r="AA123" s="83"/>
      <c r="AB123" s="83"/>
      <c r="AC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8"/>
      <c r="DQ123" s="58"/>
    </row>
    <row r="124" spans="1:121" s="52" customFormat="1" ht="16.2">
      <c r="A124" s="55"/>
      <c r="B124" s="80" t="s">
        <v>49</v>
      </c>
      <c r="C124" s="80"/>
      <c r="D124" s="81"/>
      <c r="E124" s="81"/>
      <c r="F124" s="81"/>
      <c r="G124" s="81"/>
      <c r="H124" s="81"/>
      <c r="I124" s="81"/>
      <c r="J124" s="81"/>
      <c r="K124" s="81"/>
      <c r="L124" s="82"/>
      <c r="M124" s="82"/>
      <c r="N124" s="82"/>
      <c r="O124" s="82"/>
      <c r="P124" s="82"/>
      <c r="Q124" s="82"/>
      <c r="R124" s="82"/>
      <c r="S124" s="82"/>
      <c r="T124" s="82"/>
      <c r="U124" s="82"/>
      <c r="V124" s="82"/>
      <c r="W124" s="82"/>
      <c r="X124" s="82"/>
      <c r="Y124" s="82"/>
      <c r="Z124" s="82"/>
      <c r="AA124" s="82"/>
      <c r="AB124" s="82"/>
      <c r="DP124" s="58"/>
      <c r="DQ124" s="58"/>
    </row>
    <row r="125" spans="1:121" s="52" customFormat="1">
      <c r="A125" s="55"/>
      <c r="B125" s="83"/>
      <c r="C125" s="83"/>
      <c r="D125" s="83"/>
      <c r="E125" s="83"/>
      <c r="F125" s="83"/>
      <c r="G125" s="83"/>
      <c r="H125" s="83"/>
      <c r="I125" s="83"/>
      <c r="J125" s="83"/>
      <c r="K125" s="83"/>
      <c r="L125" s="84"/>
      <c r="M125" s="106"/>
      <c r="N125" s="83"/>
      <c r="O125" s="83"/>
      <c r="P125" s="83"/>
      <c r="Q125" s="83"/>
      <c r="R125" s="83"/>
      <c r="S125" s="83"/>
      <c r="T125" s="83"/>
      <c r="U125" s="83"/>
      <c r="V125" s="83"/>
      <c r="W125" s="83"/>
      <c r="X125" s="83"/>
      <c r="Y125" s="83"/>
      <c r="Z125" s="83"/>
      <c r="AA125" s="83"/>
      <c r="AB125" s="83"/>
      <c r="DP125" s="58"/>
      <c r="DQ125" s="58"/>
    </row>
    <row r="126" spans="1:121" s="52" customFormat="1" ht="13.8">
      <c r="A126" s="55"/>
      <c r="B126" s="87" t="s">
        <v>2</v>
      </c>
      <c r="C126" s="88" t="s">
        <v>4</v>
      </c>
      <c r="D126" s="88" t="s">
        <v>9</v>
      </c>
      <c r="E126" s="89" t="s">
        <v>11</v>
      </c>
      <c r="F126" s="89" t="s">
        <v>3</v>
      </c>
      <c r="G126" s="89"/>
      <c r="H126" s="89" t="s">
        <v>7</v>
      </c>
      <c r="I126" s="86"/>
      <c r="J126" s="83"/>
      <c r="K126" s="83"/>
      <c r="L126" s="83"/>
      <c r="M126" s="106"/>
      <c r="N126" s="83"/>
      <c r="O126" s="83"/>
      <c r="P126" s="83"/>
      <c r="Q126" s="83"/>
      <c r="R126" s="83"/>
      <c r="S126" s="83"/>
      <c r="T126" s="83"/>
      <c r="U126" s="83"/>
      <c r="V126" s="83"/>
      <c r="W126" s="83"/>
      <c r="X126" s="83"/>
      <c r="Y126" s="83"/>
      <c r="Z126" s="83"/>
      <c r="AA126" s="83"/>
      <c r="AB126" s="83"/>
      <c r="DP126" s="58"/>
      <c r="DQ126" s="58"/>
    </row>
    <row r="127" spans="1:121" s="52" customFormat="1">
      <c r="A127" s="55"/>
      <c r="B127" s="113"/>
      <c r="C127" s="113"/>
      <c r="D127" s="84"/>
      <c r="E127" s="113"/>
      <c r="F127" s="113"/>
      <c r="G127" s="113"/>
      <c r="H127" s="113"/>
      <c r="I127" s="113"/>
      <c r="J127" s="83"/>
      <c r="K127" s="83"/>
      <c r="L127" s="83"/>
      <c r="M127" s="106"/>
      <c r="N127" s="83"/>
      <c r="O127" s="83"/>
      <c r="P127" s="83"/>
      <c r="Q127" s="83"/>
      <c r="R127" s="83"/>
      <c r="S127" s="83"/>
      <c r="T127" s="83"/>
      <c r="U127" s="83"/>
      <c r="V127" s="83"/>
      <c r="W127" s="83"/>
      <c r="X127" s="83"/>
      <c r="Y127" s="83"/>
      <c r="Z127" s="83"/>
      <c r="AA127" s="83"/>
      <c r="AB127" s="83"/>
      <c r="DP127" s="58"/>
      <c r="DQ127" s="58"/>
    </row>
    <row r="128" spans="1:121" s="52" customFormat="1" ht="25.2">
      <c r="A128" s="55"/>
      <c r="B128" s="99" t="s">
        <v>129</v>
      </c>
      <c r="C128" s="106" t="s">
        <v>127</v>
      </c>
      <c r="D128" s="305" t="s">
        <v>588</v>
      </c>
      <c r="E128" s="101" t="s">
        <v>8</v>
      </c>
      <c r="F128" s="101" t="s">
        <v>5</v>
      </c>
      <c r="G128" s="101"/>
      <c r="H128" s="92">
        <v>1</v>
      </c>
      <c r="I128" s="86"/>
      <c r="J128" s="92"/>
      <c r="K128" s="83"/>
      <c r="L128" s="83"/>
      <c r="M128" s="83"/>
      <c r="N128" s="83"/>
      <c r="O128" s="83"/>
      <c r="P128" s="83"/>
      <c r="Q128" s="83"/>
      <c r="R128" s="83"/>
      <c r="S128" s="83"/>
      <c r="T128" s="83"/>
      <c r="U128" s="83"/>
      <c r="V128" s="83"/>
      <c r="W128" s="83"/>
      <c r="X128" s="83"/>
      <c r="Y128" s="83"/>
      <c r="Z128" s="83"/>
      <c r="AA128" s="83"/>
      <c r="AB128" s="83"/>
      <c r="DP128" s="58"/>
      <c r="DQ128" s="58"/>
    </row>
    <row r="129" spans="1:121" s="52" customFormat="1" ht="5.0999999999999996" customHeight="1">
      <c r="A129" s="55"/>
      <c r="B129" s="162"/>
      <c r="C129" s="107"/>
      <c r="D129" s="162"/>
      <c r="E129" s="101"/>
      <c r="F129" s="101"/>
      <c r="G129" s="101"/>
      <c r="H129" s="448"/>
      <c r="I129" s="86"/>
      <c r="J129" s="83"/>
      <c r="K129" s="83"/>
      <c r="L129" s="83"/>
      <c r="M129" s="83"/>
      <c r="N129" s="83"/>
      <c r="O129" s="83"/>
      <c r="P129" s="83"/>
      <c r="Q129" s="83"/>
      <c r="R129" s="83"/>
      <c r="S129" s="83"/>
      <c r="T129" s="83"/>
      <c r="U129" s="83"/>
      <c r="V129" s="83"/>
      <c r="W129" s="83"/>
      <c r="X129" s="83"/>
      <c r="Y129" s="83"/>
      <c r="Z129" s="83"/>
      <c r="AA129" s="83"/>
      <c r="AB129" s="83"/>
      <c r="DP129" s="58"/>
      <c r="DQ129" s="58"/>
    </row>
    <row r="130" spans="1:121" s="52" customFormat="1" ht="47.4" customHeight="1">
      <c r="A130" s="55"/>
      <c r="B130" s="99" t="s">
        <v>152</v>
      </c>
      <c r="C130" s="106" t="s">
        <v>128</v>
      </c>
      <c r="D130" s="305" t="s">
        <v>589</v>
      </c>
      <c r="E130" s="101" t="s">
        <v>8</v>
      </c>
      <c r="F130" s="101" t="s">
        <v>5</v>
      </c>
      <c r="G130" s="101"/>
      <c r="H130" s="318">
        <f>IF(AND(ISNUMBER(Napp_bioc),ISNUMBER(Tbioc_int)),IF((Nlapp_grass*Tgr_int/Tbioc_int)&gt;Napp_bioc,Napp_bioc/Nlapp_grass,Tgr_int/Tbioc_int),"??")</f>
        <v>53</v>
      </c>
      <c r="I130" s="86"/>
      <c r="J130" s="83"/>
      <c r="K130" s="83"/>
      <c r="L130" s="83"/>
      <c r="M130" s="83"/>
      <c r="N130" s="83"/>
      <c r="O130" s="83"/>
      <c r="P130" s="83"/>
      <c r="Q130" s="83"/>
      <c r="R130" s="83"/>
      <c r="S130" s="83"/>
      <c r="T130" s="83"/>
      <c r="U130" s="83"/>
      <c r="V130" s="83"/>
      <c r="W130" s="83"/>
      <c r="X130" s="83"/>
      <c r="Y130" s="83"/>
      <c r="Z130" s="83"/>
      <c r="AA130" s="83"/>
      <c r="AB130" s="83"/>
      <c r="DP130" s="58"/>
      <c r="DQ130" s="58"/>
    </row>
    <row r="131" spans="1:121" s="52" customFormat="1" ht="5.0999999999999996" customHeight="1">
      <c r="A131" s="55"/>
      <c r="B131" s="135"/>
      <c r="C131" s="135"/>
      <c r="D131" s="94"/>
      <c r="E131" s="113"/>
      <c r="F131" s="113"/>
      <c r="G131" s="113"/>
      <c r="H131" s="116"/>
      <c r="I131" s="86"/>
      <c r="J131" s="83"/>
      <c r="K131" s="83"/>
      <c r="L131" s="83"/>
      <c r="M131" s="83"/>
      <c r="N131" s="83"/>
      <c r="O131" s="83"/>
      <c r="P131" s="83"/>
      <c r="Q131" s="83"/>
      <c r="R131" s="83"/>
      <c r="S131" s="83"/>
      <c r="T131" s="83"/>
      <c r="U131" s="83"/>
      <c r="V131" s="83"/>
      <c r="W131" s="83"/>
      <c r="X131" s="83"/>
      <c r="Y131" s="83"/>
      <c r="Z131" s="83"/>
      <c r="AA131" s="83"/>
      <c r="AB131" s="83"/>
      <c r="DP131" s="58"/>
      <c r="DQ131" s="58"/>
    </row>
    <row r="132" spans="1:121" s="52" customFormat="1" ht="13.8">
      <c r="A132" s="55"/>
      <c r="B132" s="99" t="s">
        <v>151</v>
      </c>
      <c r="C132" s="106" t="s">
        <v>103</v>
      </c>
      <c r="D132" s="99" t="s">
        <v>332</v>
      </c>
      <c r="E132" s="92" t="s">
        <v>8</v>
      </c>
      <c r="F132" s="92" t="s">
        <v>50</v>
      </c>
      <c r="G132" s="92"/>
      <c r="H132" s="146" t="str">
        <f>IF(AND(ISNUMBER(Fbioc),ISNUMBER(Fdil)),0.001*Fbioc*Vreserv*Fdil,"??")</f>
        <v>??</v>
      </c>
      <c r="I132" s="86"/>
      <c r="J132" s="83"/>
      <c r="K132" s="83"/>
      <c r="L132" s="83"/>
      <c r="M132" s="83"/>
      <c r="N132" s="83"/>
      <c r="O132" s="83"/>
      <c r="P132" s="83"/>
      <c r="Q132" s="83"/>
      <c r="R132" s="83"/>
      <c r="S132" s="83"/>
      <c r="T132" s="83"/>
      <c r="U132" s="83"/>
      <c r="V132" s="83"/>
      <c r="W132" s="83"/>
      <c r="X132" s="83"/>
      <c r="Y132" s="83"/>
      <c r="Z132" s="83"/>
      <c r="AA132" s="83"/>
      <c r="AB132" s="83"/>
    </row>
    <row r="133" spans="1:121" s="52" customFormat="1" ht="5.0999999999999996" customHeight="1">
      <c r="A133" s="55"/>
      <c r="B133" s="96"/>
      <c r="C133" s="96"/>
      <c r="D133" s="96"/>
      <c r="E133" s="96"/>
      <c r="F133" s="83"/>
      <c r="G133" s="83"/>
      <c r="H133" s="116"/>
      <c r="I133" s="86"/>
      <c r="J133" s="83"/>
      <c r="K133" s="83"/>
      <c r="L133" s="83"/>
      <c r="M133" s="106"/>
      <c r="N133" s="83"/>
      <c r="O133" s="83"/>
      <c r="P133" s="83"/>
      <c r="Q133" s="83"/>
      <c r="R133" s="83"/>
      <c r="S133" s="83"/>
      <c r="T133" s="83"/>
      <c r="U133" s="83"/>
      <c r="V133" s="83"/>
      <c r="W133" s="83"/>
      <c r="X133" s="83"/>
      <c r="Y133" s="83"/>
      <c r="Z133" s="83"/>
      <c r="AA133" s="83"/>
      <c r="AB133" s="83"/>
    </row>
    <row r="134" spans="1:121" s="52" customFormat="1">
      <c r="A134" s="55"/>
      <c r="B134" s="494" t="s">
        <v>130</v>
      </c>
      <c r="C134" s="494"/>
      <c r="D134" s="83"/>
      <c r="E134" s="83"/>
      <c r="F134" s="83"/>
      <c r="G134" s="83"/>
      <c r="H134" s="114"/>
      <c r="I134" s="86"/>
      <c r="J134" s="83"/>
      <c r="K134" s="83"/>
      <c r="L134" s="83"/>
      <c r="M134" s="106"/>
      <c r="N134" s="83"/>
      <c r="O134" s="83"/>
      <c r="P134" s="83"/>
      <c r="Q134" s="83"/>
      <c r="R134" s="83"/>
      <c r="S134" s="83"/>
      <c r="T134" s="83"/>
      <c r="U134" s="83"/>
      <c r="V134" s="83"/>
      <c r="W134" s="83"/>
      <c r="X134" s="83"/>
      <c r="Y134" s="83"/>
      <c r="Z134" s="83"/>
      <c r="AA134" s="83"/>
      <c r="AB134" s="83"/>
    </row>
    <row r="135" spans="1:121" s="52" customFormat="1">
      <c r="A135" s="55"/>
      <c r="B135" s="172" t="s">
        <v>140</v>
      </c>
      <c r="C135" s="119" t="s">
        <v>104</v>
      </c>
      <c r="D135" s="93" t="s">
        <v>106</v>
      </c>
      <c r="E135" s="92" t="s">
        <v>8</v>
      </c>
      <c r="F135" s="92" t="s">
        <v>50</v>
      </c>
      <c r="G135" s="92"/>
      <c r="H135" s="146" t="str">
        <f>IF(AND(ISNUMBER(Fmanure_slurry), ISNUMBER(Qai_prescr)),Fmanure_slurry* Qai_prescr,"??")</f>
        <v>??</v>
      </c>
      <c r="I135" s="86"/>
      <c r="J135" s="83"/>
      <c r="K135" s="83"/>
      <c r="L135" s="83"/>
      <c r="M135" s="83"/>
      <c r="N135" s="83"/>
      <c r="O135" s="83"/>
      <c r="P135" s="83"/>
      <c r="Q135" s="83"/>
      <c r="R135" s="83"/>
      <c r="S135" s="83"/>
      <c r="T135" s="83"/>
      <c r="U135" s="83"/>
      <c r="V135" s="83"/>
      <c r="W135" s="83"/>
      <c r="X135" s="83"/>
      <c r="Y135" s="83"/>
      <c r="Z135" s="83"/>
      <c r="AA135" s="83"/>
      <c r="AB135" s="83"/>
    </row>
    <row r="136" spans="1:121" s="52" customFormat="1">
      <c r="A136" s="55"/>
      <c r="B136" s="172" t="s">
        <v>79</v>
      </c>
      <c r="C136" s="119" t="s">
        <v>105</v>
      </c>
      <c r="D136" s="93" t="s">
        <v>107</v>
      </c>
      <c r="E136" s="92" t="s">
        <v>8</v>
      </c>
      <c r="F136" s="92" t="s">
        <v>50</v>
      </c>
      <c r="G136" s="92"/>
      <c r="H136" s="146" t="str">
        <f>IF(AND(ISNUMBER(Fwastewater),ISNUMBER(Qai_prescr)), Fwastewater*Qai_prescr,"??")</f>
        <v>??</v>
      </c>
      <c r="I136" s="86"/>
      <c r="J136" s="83"/>
      <c r="K136" s="83"/>
      <c r="L136" s="83"/>
      <c r="M136" s="83"/>
      <c r="N136" s="83"/>
      <c r="O136" s="83"/>
      <c r="P136" s="83"/>
      <c r="Q136" s="83"/>
      <c r="R136" s="83"/>
      <c r="S136" s="83"/>
      <c r="T136" s="83"/>
      <c r="U136" s="83"/>
      <c r="V136" s="83"/>
      <c r="W136" s="83"/>
      <c r="X136" s="83"/>
      <c r="Y136" s="83"/>
      <c r="Z136" s="83"/>
      <c r="AA136" s="83"/>
      <c r="AB136" s="83"/>
    </row>
    <row r="137" spans="1:121" s="52" customFormat="1">
      <c r="A137" s="55"/>
      <c r="B137" s="120"/>
      <c r="C137" s="120"/>
      <c r="D137" s="93"/>
      <c r="E137" s="83"/>
      <c r="F137" s="106"/>
      <c r="G137" s="106"/>
      <c r="H137" s="121"/>
      <c r="I137" s="86"/>
      <c r="J137" s="83"/>
      <c r="K137" s="83"/>
      <c r="L137" s="83"/>
      <c r="M137" s="83"/>
      <c r="N137" s="83"/>
      <c r="O137" s="83"/>
      <c r="P137" s="83"/>
      <c r="Q137" s="83"/>
      <c r="R137" s="83"/>
      <c r="S137" s="83"/>
      <c r="T137" s="83"/>
      <c r="U137" s="83"/>
      <c r="V137" s="83"/>
      <c r="W137" s="83"/>
      <c r="X137" s="83"/>
      <c r="Y137" s="83"/>
      <c r="Z137" s="83"/>
      <c r="AA137" s="83"/>
      <c r="AB137" s="83"/>
    </row>
    <row r="138" spans="1:121" s="52" customFormat="1" ht="49.5" customHeight="1">
      <c r="A138" s="55"/>
      <c r="B138" s="99" t="s">
        <v>143</v>
      </c>
      <c r="C138" s="83" t="s">
        <v>145</v>
      </c>
      <c r="D138" s="123" t="s">
        <v>146</v>
      </c>
      <c r="E138" s="92" t="s">
        <v>8</v>
      </c>
      <c r="F138" s="92" t="s">
        <v>50</v>
      </c>
      <c r="G138" s="92"/>
      <c r="H138" s="146" t="str">
        <f>IF(AND(ISNUMBER(H135),ISNUMBER(Napp_manure_gr)),H135*Napp_manure_gr,"??")</f>
        <v>??</v>
      </c>
      <c r="I138" s="86"/>
      <c r="J138" s="83"/>
      <c r="K138" s="83"/>
      <c r="L138" s="83"/>
      <c r="M138" s="83"/>
      <c r="N138" s="83"/>
      <c r="O138" s="83"/>
      <c r="P138" s="83"/>
      <c r="Q138" s="83"/>
      <c r="R138" s="83"/>
      <c r="S138" s="83"/>
      <c r="T138" s="83"/>
      <c r="U138" s="83"/>
      <c r="V138" s="83"/>
      <c r="W138" s="83"/>
      <c r="X138" s="83"/>
      <c r="Y138" s="83"/>
      <c r="Z138" s="83"/>
      <c r="AA138" s="83"/>
      <c r="AB138" s="83"/>
    </row>
    <row r="139" spans="1:121" s="52" customFormat="1" ht="3" customHeight="1">
      <c r="A139" s="55"/>
      <c r="B139" s="124"/>
      <c r="C139" s="83"/>
      <c r="D139" s="84"/>
      <c r="E139" s="92"/>
      <c r="F139" s="92"/>
      <c r="G139" s="92"/>
      <c r="H139" s="121"/>
      <c r="I139" s="86"/>
      <c r="J139" s="83"/>
      <c r="K139" s="83"/>
      <c r="L139" s="83"/>
      <c r="M139" s="83"/>
      <c r="N139" s="83"/>
      <c r="O139" s="83"/>
      <c r="P139" s="83"/>
      <c r="Q139" s="83"/>
      <c r="R139" s="83"/>
      <c r="S139" s="83"/>
      <c r="T139" s="83"/>
      <c r="U139" s="83"/>
      <c r="V139" s="83"/>
      <c r="W139" s="83"/>
      <c r="X139" s="83"/>
      <c r="Y139" s="83"/>
      <c r="Z139" s="83"/>
      <c r="AA139" s="83"/>
      <c r="AB139" s="83"/>
    </row>
    <row r="140" spans="1:121" s="52" customFormat="1" ht="37.799999999999997">
      <c r="A140" s="55"/>
      <c r="B140" s="99" t="s">
        <v>147</v>
      </c>
      <c r="C140" s="83" t="s">
        <v>148</v>
      </c>
      <c r="D140" s="123" t="s">
        <v>150</v>
      </c>
      <c r="E140" s="92" t="s">
        <v>8</v>
      </c>
      <c r="F140" s="92" t="s">
        <v>50</v>
      </c>
      <c r="G140" s="92"/>
      <c r="H140" s="146" t="str">
        <f>IF(AND(ISNUMBER(H135),ISNUMBER(Napp_manure_ar)),H135*Napp_manure_ar,"??")</f>
        <v>??</v>
      </c>
      <c r="I140" s="86"/>
      <c r="J140" s="83"/>
      <c r="K140" s="83"/>
      <c r="L140" s="83"/>
      <c r="M140" s="83"/>
      <c r="N140" s="83"/>
      <c r="O140" s="83"/>
      <c r="P140" s="83"/>
      <c r="Q140" s="83"/>
      <c r="R140" s="83"/>
      <c r="S140" s="83"/>
      <c r="T140" s="83"/>
      <c r="U140" s="83"/>
      <c r="V140" s="83"/>
      <c r="W140" s="83"/>
      <c r="X140" s="83"/>
      <c r="Y140" s="83"/>
      <c r="Z140" s="83"/>
      <c r="AA140" s="83"/>
      <c r="AB140" s="83"/>
    </row>
    <row r="141" spans="1:121" s="52" customFormat="1">
      <c r="A141" s="55"/>
      <c r="B141" s="99"/>
      <c r="C141" s="83"/>
      <c r="D141" s="123"/>
      <c r="E141" s="92"/>
      <c r="F141" s="92"/>
      <c r="G141" s="92"/>
      <c r="H141" s="92"/>
      <c r="I141" s="83"/>
      <c r="J141" s="83"/>
      <c r="K141" s="83"/>
      <c r="L141" s="83"/>
      <c r="M141" s="83"/>
      <c r="N141" s="83"/>
      <c r="O141" s="83"/>
      <c r="P141" s="83"/>
      <c r="Q141" s="83"/>
      <c r="R141" s="83"/>
      <c r="S141" s="83"/>
      <c r="T141" s="83"/>
      <c r="U141" s="83"/>
      <c r="V141" s="83"/>
      <c r="W141" s="83"/>
      <c r="X141" s="83"/>
      <c r="Y141" s="83"/>
      <c r="Z141" s="83"/>
      <c r="AA141" s="83"/>
      <c r="AB141" s="83"/>
    </row>
    <row r="142" spans="1:121" s="52" customFormat="1" ht="102">
      <c r="A142" s="55"/>
      <c r="B142" s="96"/>
      <c r="C142" s="83"/>
      <c r="D142" s="96"/>
      <c r="E142" s="92"/>
      <c r="F142" s="92"/>
      <c r="G142" s="92"/>
      <c r="H142" s="92"/>
      <c r="I142" s="461" t="s">
        <v>15</v>
      </c>
      <c r="J142" s="461" t="s">
        <v>91</v>
      </c>
      <c r="K142" s="461" t="s">
        <v>14</v>
      </c>
      <c r="L142" s="461" t="s">
        <v>92</v>
      </c>
      <c r="M142" s="461" t="s">
        <v>16</v>
      </c>
      <c r="N142" s="461" t="s">
        <v>17</v>
      </c>
      <c r="O142" s="461" t="s">
        <v>18</v>
      </c>
      <c r="P142" s="461" t="s">
        <v>19</v>
      </c>
      <c r="Q142" s="461" t="s">
        <v>20</v>
      </c>
      <c r="R142" s="461" t="s">
        <v>21</v>
      </c>
      <c r="S142" s="461" t="s">
        <v>52</v>
      </c>
      <c r="T142" s="461" t="s">
        <v>22</v>
      </c>
      <c r="U142" s="461" t="s">
        <v>23</v>
      </c>
      <c r="V142" s="461" t="s">
        <v>24</v>
      </c>
      <c r="W142" s="461" t="s">
        <v>25</v>
      </c>
      <c r="X142" s="461" t="s">
        <v>26</v>
      </c>
      <c r="Y142" s="461" t="s">
        <v>27</v>
      </c>
      <c r="Z142" s="461" t="s">
        <v>28</v>
      </c>
      <c r="AA142" s="461" t="s">
        <v>29</v>
      </c>
      <c r="AB142" s="461" t="s">
        <v>30</v>
      </c>
    </row>
    <row r="143" spans="1:121" s="55" customFormat="1">
      <c r="B143" s="96"/>
      <c r="C143" s="83"/>
      <c r="D143" s="96"/>
      <c r="E143" s="92"/>
      <c r="F143" s="92"/>
      <c r="G143" s="92"/>
      <c r="H143" s="92"/>
      <c r="I143" s="460"/>
      <c r="J143" s="460"/>
      <c r="K143" s="460"/>
      <c r="L143" s="460"/>
      <c r="M143" s="460"/>
      <c r="N143" s="460"/>
      <c r="O143" s="460"/>
      <c r="P143" s="460"/>
      <c r="Q143" s="460"/>
      <c r="R143" s="460"/>
      <c r="S143" s="460"/>
      <c r="T143" s="460"/>
      <c r="U143" s="460"/>
      <c r="V143" s="460"/>
      <c r="W143" s="460"/>
      <c r="X143" s="460"/>
      <c r="Y143" s="460"/>
      <c r="Z143" s="460"/>
      <c r="AA143" s="460"/>
      <c r="AB143" s="460"/>
    </row>
    <row r="144" spans="1:121" s="52" customFormat="1" ht="37.799999999999997">
      <c r="A144" s="55"/>
      <c r="B144" s="93" t="s">
        <v>113</v>
      </c>
      <c r="C144" s="83" t="s">
        <v>108</v>
      </c>
      <c r="D144" s="100" t="s">
        <v>126</v>
      </c>
      <c r="E144" s="92" t="s">
        <v>8</v>
      </c>
      <c r="F144" s="92" t="s">
        <v>50</v>
      </c>
      <c r="G144" s="92"/>
      <c r="H144" s="92"/>
      <c r="I144" s="143">
        <f t="shared" ref="I144:AB144" si="0">I122*I120*Tgr_int</f>
        <v>1796.17</v>
      </c>
      <c r="J144" s="143">
        <f t="shared" si="0"/>
        <v>758.74800000000005</v>
      </c>
      <c r="K144" s="143">
        <f t="shared" si="0"/>
        <v>1909.25875</v>
      </c>
      <c r="L144" s="143">
        <f t="shared" si="0"/>
        <v>852.17374999999993</v>
      </c>
      <c r="M144" s="143">
        <f t="shared" si="0"/>
        <v>100.99680000000001</v>
      </c>
      <c r="N144" s="143">
        <f t="shared" si="0"/>
        <v>497.13576</v>
      </c>
      <c r="O144" s="143">
        <f t="shared" si="0"/>
        <v>497.13576</v>
      </c>
      <c r="P144" s="143">
        <f t="shared" si="0"/>
        <v>645.11599999999999</v>
      </c>
      <c r="Q144" s="143">
        <f t="shared" si="0"/>
        <v>2248.2600000000002</v>
      </c>
      <c r="R144" s="143">
        <f t="shared" si="0"/>
        <v>2014.53</v>
      </c>
      <c r="S144" s="143">
        <f t="shared" si="0"/>
        <v>2014.53</v>
      </c>
      <c r="T144" s="143">
        <f t="shared" si="0"/>
        <v>2014.53</v>
      </c>
      <c r="U144" s="143">
        <f t="shared" si="0"/>
        <v>906.29999999999984</v>
      </c>
      <c r="V144" s="143">
        <f t="shared" si="0"/>
        <v>1653.6</v>
      </c>
      <c r="W144" s="143">
        <f t="shared" si="0"/>
        <v>1812.5999999999997</v>
      </c>
      <c r="X144" s="143">
        <f t="shared" si="0"/>
        <v>1105.58</v>
      </c>
      <c r="Y144" s="143">
        <f t="shared" si="0"/>
        <v>653.4899999999999</v>
      </c>
      <c r="Z144" s="143">
        <f t="shared" si="0"/>
        <v>2554.6</v>
      </c>
      <c r="AA144" s="143">
        <f t="shared" si="0"/>
        <v>1452.1999999999998</v>
      </c>
      <c r="AB144" s="143">
        <f t="shared" si="0"/>
        <v>2554.6</v>
      </c>
    </row>
    <row r="145" spans="1:121" s="52" customFormat="1" ht="5.0999999999999996" customHeight="1">
      <c r="A145" s="55"/>
      <c r="B145" s="96"/>
      <c r="C145" s="83"/>
      <c r="D145" s="100"/>
      <c r="E145" s="92"/>
      <c r="F145" s="92"/>
      <c r="G145" s="92"/>
      <c r="H145" s="92"/>
      <c r="I145" s="83"/>
      <c r="J145" s="83"/>
      <c r="K145" s="83"/>
      <c r="L145" s="83"/>
      <c r="M145" s="83"/>
      <c r="N145" s="83"/>
      <c r="O145" s="83"/>
      <c r="P145" s="83"/>
      <c r="Q145" s="83"/>
      <c r="R145" s="83"/>
      <c r="S145" s="83"/>
      <c r="T145" s="83"/>
      <c r="U145" s="83"/>
      <c r="V145" s="83"/>
      <c r="W145" s="83"/>
      <c r="X145" s="83"/>
      <c r="Y145" s="83"/>
      <c r="Z145" s="83"/>
      <c r="AA145" s="83"/>
      <c r="AB145" s="83"/>
    </row>
    <row r="146" spans="1:121" s="52" customFormat="1" ht="37.799999999999997">
      <c r="A146" s="55"/>
      <c r="B146" s="93" t="s">
        <v>114</v>
      </c>
      <c r="C146" s="83" t="s">
        <v>109</v>
      </c>
      <c r="D146" s="359" t="s">
        <v>587</v>
      </c>
      <c r="E146" s="92" t="s">
        <v>8</v>
      </c>
      <c r="F146" s="92" t="s">
        <v>50</v>
      </c>
      <c r="G146" s="92"/>
      <c r="H146" s="125"/>
      <c r="I146" s="143">
        <f t="shared" ref="I146:AB146" si="1">I122*I120*Tbioc_int</f>
        <v>33.89</v>
      </c>
      <c r="J146" s="143">
        <f t="shared" si="1"/>
        <v>14.316000000000001</v>
      </c>
      <c r="K146" s="143">
        <f t="shared" si="1"/>
        <v>36.02375</v>
      </c>
      <c r="L146" s="143">
        <f t="shared" si="1"/>
        <v>16.078749999999999</v>
      </c>
      <c r="M146" s="143">
        <f t="shared" si="1"/>
        <v>1.9056000000000002</v>
      </c>
      <c r="N146" s="143">
        <f t="shared" si="1"/>
        <v>9.3799200000000003</v>
      </c>
      <c r="O146" s="143">
        <f t="shared" si="1"/>
        <v>9.3799200000000003</v>
      </c>
      <c r="P146" s="143">
        <f t="shared" si="1"/>
        <v>12.171999999999999</v>
      </c>
      <c r="Q146" s="143">
        <f t="shared" si="1"/>
        <v>42.42</v>
      </c>
      <c r="R146" s="143">
        <f t="shared" si="1"/>
        <v>38.01</v>
      </c>
      <c r="S146" s="143">
        <f t="shared" si="1"/>
        <v>38.01</v>
      </c>
      <c r="T146" s="143">
        <f t="shared" si="1"/>
        <v>38.01</v>
      </c>
      <c r="U146" s="143">
        <f t="shared" si="1"/>
        <v>17.099999999999998</v>
      </c>
      <c r="V146" s="143">
        <f t="shared" si="1"/>
        <v>31.2</v>
      </c>
      <c r="W146" s="143">
        <f t="shared" si="1"/>
        <v>34.199999999999996</v>
      </c>
      <c r="X146" s="143">
        <f t="shared" si="1"/>
        <v>20.86</v>
      </c>
      <c r="Y146" s="143">
        <f t="shared" si="1"/>
        <v>12.329999999999998</v>
      </c>
      <c r="Z146" s="143">
        <f t="shared" si="1"/>
        <v>48.199999999999996</v>
      </c>
      <c r="AA146" s="143">
        <f t="shared" si="1"/>
        <v>27.4</v>
      </c>
      <c r="AB146" s="143">
        <f t="shared" si="1"/>
        <v>48.199999999999996</v>
      </c>
    </row>
    <row r="147" spans="1:121" s="52" customFormat="1">
      <c r="A147" s="55"/>
      <c r="B147" s="96"/>
      <c r="C147" s="96"/>
      <c r="D147" s="96"/>
      <c r="E147" s="96"/>
      <c r="F147" s="83"/>
      <c r="G147" s="83"/>
      <c r="H147" s="83"/>
      <c r="I147" s="126"/>
      <c r="J147" s="127"/>
      <c r="K147" s="127"/>
      <c r="L147" s="128"/>
      <c r="M147" s="129"/>
      <c r="N147" s="128"/>
      <c r="O147" s="128"/>
      <c r="P147" s="128"/>
      <c r="Q147" s="128"/>
      <c r="R147" s="128"/>
      <c r="S147" s="128"/>
      <c r="T147" s="128"/>
      <c r="U147" s="128"/>
      <c r="V147" s="128"/>
      <c r="W147" s="128"/>
      <c r="X147" s="128"/>
      <c r="Y147" s="128"/>
      <c r="Z147" s="128"/>
      <c r="AA147" s="128"/>
      <c r="AB147" s="128"/>
    </row>
    <row r="148" spans="1:121" s="52" customFormat="1">
      <c r="A148" s="55"/>
      <c r="B148" s="96"/>
      <c r="C148" s="96"/>
      <c r="D148" s="83"/>
      <c r="E148" s="83"/>
      <c r="F148" s="83"/>
      <c r="G148" s="83"/>
      <c r="H148" s="83"/>
      <c r="I148" s="130"/>
      <c r="J148" s="104"/>
      <c r="K148" s="104"/>
      <c r="L148" s="131"/>
      <c r="M148" s="132"/>
      <c r="N148" s="131"/>
      <c r="O148" s="131"/>
      <c r="P148" s="131"/>
      <c r="Q148" s="131"/>
      <c r="R148" s="131"/>
      <c r="S148" s="131"/>
      <c r="T148" s="131"/>
      <c r="U148" s="131"/>
      <c r="V148" s="131"/>
      <c r="W148" s="131"/>
      <c r="X148" s="131"/>
      <c r="Y148" s="131"/>
      <c r="Z148" s="131"/>
      <c r="AA148" s="131"/>
      <c r="AB148" s="131"/>
    </row>
    <row r="149" spans="1:121" s="52" customFormat="1" ht="16.2">
      <c r="A149" s="55"/>
      <c r="B149" s="80" t="s">
        <v>1</v>
      </c>
      <c r="C149" s="80"/>
      <c r="D149" s="81"/>
      <c r="E149" s="81"/>
      <c r="F149" s="81"/>
      <c r="G149" s="81"/>
      <c r="H149" s="81"/>
      <c r="I149" s="81"/>
      <c r="J149" s="81"/>
      <c r="K149" s="81"/>
      <c r="L149" s="82"/>
      <c r="M149" s="82"/>
      <c r="N149" s="82"/>
      <c r="O149" s="82"/>
      <c r="P149" s="82"/>
      <c r="Q149" s="82"/>
      <c r="R149" s="82"/>
      <c r="S149" s="82"/>
      <c r="T149" s="82"/>
      <c r="U149" s="82"/>
      <c r="V149" s="82"/>
      <c r="W149" s="82"/>
      <c r="X149" s="82"/>
      <c r="Y149" s="82"/>
      <c r="Z149" s="82"/>
      <c r="AA149" s="82"/>
      <c r="AB149" s="82"/>
      <c r="DP149" s="58"/>
      <c r="DQ149" s="58"/>
    </row>
    <row r="150" spans="1:121" s="52" customFormat="1">
      <c r="A150" s="55"/>
      <c r="B150" s="83"/>
      <c r="C150" s="83"/>
      <c r="D150" s="83"/>
      <c r="E150" s="83"/>
      <c r="F150" s="83"/>
      <c r="G150" s="83"/>
      <c r="H150" s="83"/>
      <c r="I150" s="83"/>
      <c r="J150" s="83"/>
      <c r="K150" s="83"/>
      <c r="L150" s="84"/>
      <c r="M150" s="106"/>
      <c r="N150" s="83"/>
      <c r="O150" s="83"/>
      <c r="P150" s="83"/>
      <c r="Q150" s="83"/>
      <c r="R150" s="83"/>
      <c r="S150" s="83"/>
      <c r="T150" s="83"/>
      <c r="U150" s="83"/>
      <c r="V150" s="83"/>
      <c r="W150" s="83"/>
      <c r="X150" s="83"/>
      <c r="Y150" s="83"/>
      <c r="Z150" s="83"/>
      <c r="AA150" s="83"/>
      <c r="AB150" s="83"/>
      <c r="DP150" s="58"/>
      <c r="DQ150" s="58"/>
    </row>
    <row r="151" spans="1:121" s="52" customFormat="1" ht="13.8">
      <c r="A151" s="55"/>
      <c r="B151" s="87" t="s">
        <v>2</v>
      </c>
      <c r="C151" s="88" t="s">
        <v>4</v>
      </c>
      <c r="D151" s="88" t="s">
        <v>9</v>
      </c>
      <c r="E151" s="89" t="s">
        <v>11</v>
      </c>
      <c r="F151" s="89" t="s">
        <v>3</v>
      </c>
      <c r="G151" s="89"/>
      <c r="H151" s="89"/>
      <c r="I151" s="89" t="s">
        <v>7</v>
      </c>
      <c r="J151" s="83"/>
      <c r="K151" s="83"/>
      <c r="L151" s="83"/>
      <c r="M151" s="106"/>
      <c r="N151" s="83"/>
      <c r="O151" s="83"/>
      <c r="P151" s="83"/>
      <c r="Q151" s="83"/>
      <c r="R151" s="83"/>
      <c r="S151" s="83"/>
      <c r="T151" s="83"/>
      <c r="U151" s="83"/>
      <c r="V151" s="83"/>
      <c r="W151" s="83"/>
      <c r="X151" s="83"/>
      <c r="Y151" s="83"/>
      <c r="Z151" s="83"/>
      <c r="AA151" s="83"/>
      <c r="AB151" s="83"/>
      <c r="DP151" s="58"/>
      <c r="DQ151" s="58"/>
    </row>
    <row r="152" spans="1:121" s="52" customFormat="1">
      <c r="A152" s="55"/>
      <c r="B152" s="87"/>
      <c r="C152" s="88"/>
      <c r="D152" s="88"/>
      <c r="E152" s="89"/>
      <c r="F152" s="89"/>
      <c r="G152" s="89"/>
      <c r="H152" s="89"/>
      <c r="I152" s="89"/>
      <c r="J152" s="83"/>
      <c r="K152" s="83"/>
      <c r="L152" s="83"/>
      <c r="M152" s="106"/>
      <c r="N152" s="83"/>
      <c r="O152" s="83"/>
      <c r="P152" s="83"/>
      <c r="Q152" s="83"/>
      <c r="R152" s="83"/>
      <c r="S152" s="83"/>
      <c r="T152" s="83"/>
      <c r="U152" s="83"/>
      <c r="V152" s="83"/>
      <c r="W152" s="83"/>
      <c r="X152" s="83"/>
      <c r="Y152" s="83"/>
      <c r="Z152" s="83"/>
      <c r="AA152" s="83"/>
      <c r="AB152" s="83"/>
      <c r="DP152" s="58"/>
      <c r="DQ152" s="58"/>
    </row>
    <row r="153" spans="1:121" s="52" customFormat="1" ht="17.399999999999999">
      <c r="A153" s="55"/>
      <c r="B153" s="133" t="s">
        <v>93</v>
      </c>
      <c r="C153" s="134"/>
      <c r="D153" s="83"/>
      <c r="E153" s="92"/>
      <c r="F153" s="92"/>
      <c r="G153" s="92"/>
      <c r="H153" s="92"/>
      <c r="I153" s="464"/>
      <c r="J153" s="464"/>
      <c r="K153" s="464"/>
      <c r="L153" s="464"/>
      <c r="M153" s="464"/>
      <c r="N153" s="464"/>
      <c r="O153" s="464"/>
      <c r="P153" s="464"/>
      <c r="Q153" s="464"/>
      <c r="R153" s="464"/>
      <c r="S153" s="464"/>
      <c r="T153" s="464"/>
      <c r="U153" s="464"/>
      <c r="V153" s="464"/>
      <c r="W153" s="464"/>
      <c r="X153" s="464"/>
      <c r="Y153" s="464"/>
      <c r="Z153" s="464"/>
      <c r="AA153" s="464"/>
      <c r="AB153" s="464"/>
    </row>
    <row r="154" spans="1:121" s="52" customFormat="1" ht="50.4">
      <c r="A154" s="55"/>
      <c r="B154" s="363" t="s">
        <v>441</v>
      </c>
      <c r="C154" s="84" t="s">
        <v>415</v>
      </c>
      <c r="D154" s="358" t="s">
        <v>525</v>
      </c>
      <c r="E154" s="92" t="s">
        <v>8</v>
      </c>
      <c r="F154" s="101" t="s">
        <v>115</v>
      </c>
      <c r="G154" s="101"/>
      <c r="H154" s="101"/>
      <c r="I154" s="146" t="str">
        <f t="shared" ref="I154:AB154" si="2">IF(AND(ISNUMBER(Qai_arab),ISNUMBER(I146)),100*Qai_arab*QN_arable/(I146*Nlapp_arab*DEPTHarable*RHOsoilwet),"??")</f>
        <v>??</v>
      </c>
      <c r="J154" s="146" t="str">
        <f t="shared" si="2"/>
        <v>??</v>
      </c>
      <c r="K154" s="146" t="str">
        <f t="shared" si="2"/>
        <v>??</v>
      </c>
      <c r="L154" s="146" t="str">
        <f t="shared" si="2"/>
        <v>??</v>
      </c>
      <c r="M154" s="146" t="str">
        <f t="shared" si="2"/>
        <v>??</v>
      </c>
      <c r="N154" s="146" t="str">
        <f t="shared" si="2"/>
        <v>??</v>
      </c>
      <c r="O154" s="146" t="str">
        <f t="shared" si="2"/>
        <v>??</v>
      </c>
      <c r="P154" s="146" t="str">
        <f t="shared" si="2"/>
        <v>??</v>
      </c>
      <c r="Q154" s="146" t="str">
        <f t="shared" si="2"/>
        <v>??</v>
      </c>
      <c r="R154" s="146" t="str">
        <f t="shared" si="2"/>
        <v>??</v>
      </c>
      <c r="S154" s="146" t="str">
        <f t="shared" si="2"/>
        <v>??</v>
      </c>
      <c r="T154" s="146" t="str">
        <f t="shared" si="2"/>
        <v>??</v>
      </c>
      <c r="U154" s="146" t="str">
        <f t="shared" si="2"/>
        <v>??</v>
      </c>
      <c r="V154" s="146" t="str">
        <f t="shared" si="2"/>
        <v>??</v>
      </c>
      <c r="W154" s="146" t="str">
        <f t="shared" si="2"/>
        <v>??</v>
      </c>
      <c r="X154" s="146" t="str">
        <f t="shared" si="2"/>
        <v>??</v>
      </c>
      <c r="Y154" s="146" t="str">
        <f t="shared" si="2"/>
        <v>??</v>
      </c>
      <c r="Z154" s="146" t="str">
        <f t="shared" si="2"/>
        <v>??</v>
      </c>
      <c r="AA154" s="146" t="str">
        <f t="shared" si="2"/>
        <v>??</v>
      </c>
      <c r="AB154" s="146" t="str">
        <f t="shared" si="2"/>
        <v>??</v>
      </c>
    </row>
    <row r="155" spans="1:121" s="52" customFormat="1" ht="3" customHeight="1">
      <c r="A155" s="55"/>
      <c r="B155" s="100"/>
      <c r="C155" s="83"/>
      <c r="D155" s="96"/>
      <c r="E155" s="92"/>
      <c r="F155" s="101"/>
      <c r="G155" s="101"/>
      <c r="H155" s="101"/>
      <c r="I155" s="147"/>
      <c r="J155" s="147"/>
      <c r="K155" s="147"/>
      <c r="L155" s="147"/>
      <c r="M155" s="148"/>
      <c r="N155" s="147"/>
      <c r="O155" s="147"/>
      <c r="P155" s="147"/>
      <c r="Q155" s="147"/>
      <c r="R155" s="147"/>
      <c r="S155" s="147"/>
      <c r="T155" s="147"/>
      <c r="U155" s="147"/>
      <c r="V155" s="147"/>
      <c r="W155" s="147"/>
      <c r="X155" s="147"/>
      <c r="Y155" s="147"/>
      <c r="Z155" s="147"/>
      <c r="AA155" s="147"/>
      <c r="AB155" s="147"/>
    </row>
    <row r="156" spans="1:121" s="52" customFormat="1" ht="15" customHeight="1">
      <c r="A156" s="55"/>
      <c r="B156" s="364" t="s">
        <v>442</v>
      </c>
      <c r="C156" s="83"/>
      <c r="D156" s="96"/>
      <c r="E156" s="92"/>
      <c r="F156" s="101"/>
      <c r="G156" s="101"/>
      <c r="H156" s="101"/>
      <c r="I156" s="149"/>
      <c r="J156" s="149"/>
      <c r="K156" s="149"/>
      <c r="L156" s="149"/>
      <c r="M156" s="150"/>
      <c r="N156" s="149"/>
      <c r="O156" s="149"/>
      <c r="P156" s="149"/>
      <c r="Q156" s="149"/>
      <c r="R156" s="149"/>
      <c r="S156" s="149"/>
      <c r="T156" s="149"/>
      <c r="U156" s="149"/>
      <c r="V156" s="149"/>
      <c r="W156" s="149"/>
      <c r="X156" s="149"/>
      <c r="Y156" s="149"/>
      <c r="Z156" s="149"/>
      <c r="AA156" s="149"/>
      <c r="AB156" s="149"/>
    </row>
    <row r="157" spans="1:121" s="52" customFormat="1" ht="50.4">
      <c r="A157" s="55"/>
      <c r="B157" s="363" t="s">
        <v>443</v>
      </c>
      <c r="C157" s="83" t="s">
        <v>428</v>
      </c>
      <c r="D157" s="359" t="s">
        <v>526</v>
      </c>
      <c r="E157" s="92" t="s">
        <v>8</v>
      </c>
      <c r="F157" s="101" t="s">
        <v>115</v>
      </c>
      <c r="G157" s="101"/>
      <c r="H157" s="101"/>
      <c r="I157" s="146" t="str">
        <f t="shared" ref="I157:AB157" si="3">IF(ISNUMBER(k_ar),IF(AND(k_ar&gt;0,ISNUMBER(I154)),I154*(1-POWER(EXP(-k_ar*Tar_int_10),Nlapp_arab_10))/(1-EXP(-k_ar*Tar_int_10)),"??"),"??")</f>
        <v>??</v>
      </c>
      <c r="J157" s="146" t="str">
        <f t="shared" si="3"/>
        <v>??</v>
      </c>
      <c r="K157" s="146" t="str">
        <f t="shared" si="3"/>
        <v>??</v>
      </c>
      <c r="L157" s="146" t="str">
        <f t="shared" si="3"/>
        <v>??</v>
      </c>
      <c r="M157" s="146" t="str">
        <f t="shared" si="3"/>
        <v>??</v>
      </c>
      <c r="N157" s="146" t="str">
        <f t="shared" si="3"/>
        <v>??</v>
      </c>
      <c r="O157" s="146" t="str">
        <f t="shared" si="3"/>
        <v>??</v>
      </c>
      <c r="P157" s="146" t="str">
        <f t="shared" si="3"/>
        <v>??</v>
      </c>
      <c r="Q157" s="146" t="str">
        <f t="shared" si="3"/>
        <v>??</v>
      </c>
      <c r="R157" s="146" t="str">
        <f t="shared" si="3"/>
        <v>??</v>
      </c>
      <c r="S157" s="146" t="str">
        <f t="shared" si="3"/>
        <v>??</v>
      </c>
      <c r="T157" s="146" t="str">
        <f t="shared" si="3"/>
        <v>??</v>
      </c>
      <c r="U157" s="146" t="str">
        <f t="shared" si="3"/>
        <v>??</v>
      </c>
      <c r="V157" s="146" t="str">
        <f t="shared" si="3"/>
        <v>??</v>
      </c>
      <c r="W157" s="146" t="str">
        <f t="shared" si="3"/>
        <v>??</v>
      </c>
      <c r="X157" s="146" t="str">
        <f t="shared" si="3"/>
        <v>??</v>
      </c>
      <c r="Y157" s="146" t="str">
        <f t="shared" si="3"/>
        <v>??</v>
      </c>
      <c r="Z157" s="146" t="str">
        <f t="shared" si="3"/>
        <v>??</v>
      </c>
      <c r="AA157" s="146" t="str">
        <f t="shared" si="3"/>
        <v>??</v>
      </c>
      <c r="AB157" s="146" t="str">
        <f t="shared" si="3"/>
        <v>??</v>
      </c>
    </row>
    <row r="158" spans="1:121" s="52" customFormat="1" ht="3" customHeight="1">
      <c r="A158" s="55"/>
      <c r="B158" s="113"/>
      <c r="C158" s="113"/>
      <c r="D158" s="136"/>
      <c r="E158" s="113"/>
      <c r="F158" s="113"/>
      <c r="G158" s="113"/>
      <c r="H158" s="113"/>
      <c r="I158" s="151"/>
      <c r="J158" s="151"/>
      <c r="K158" s="151"/>
      <c r="L158" s="152"/>
      <c r="M158" s="148"/>
      <c r="N158" s="147"/>
      <c r="O158" s="147"/>
      <c r="P158" s="147"/>
      <c r="Q158" s="147"/>
      <c r="R158" s="147"/>
      <c r="S158" s="147"/>
      <c r="T158" s="147"/>
      <c r="U158" s="147"/>
      <c r="V158" s="147"/>
      <c r="W158" s="147"/>
      <c r="X158" s="147"/>
      <c r="Y158" s="147"/>
      <c r="Z158" s="147"/>
      <c r="AA158" s="147"/>
      <c r="AB158" s="147"/>
      <c r="DP158" s="58"/>
      <c r="DQ158" s="58"/>
    </row>
    <row r="159" spans="1:121" s="52" customFormat="1" ht="40.200000000000003">
      <c r="A159" s="55"/>
      <c r="B159" s="305" t="s">
        <v>426</v>
      </c>
      <c r="C159" s="106" t="s">
        <v>515</v>
      </c>
      <c r="D159" s="359" t="s">
        <v>527</v>
      </c>
      <c r="E159" s="92" t="s">
        <v>8</v>
      </c>
      <c r="F159" s="101" t="s">
        <v>115</v>
      </c>
      <c r="G159" s="101"/>
      <c r="H159" s="113"/>
      <c r="I159" s="146" t="str">
        <f t="shared" ref="I159:AB159" si="4">IF(ISNUMBER(I157),+I157*(1-EXP(-k_ar*30))/(k_ar*30),"??")</f>
        <v>??</v>
      </c>
      <c r="J159" s="146" t="str">
        <f t="shared" si="4"/>
        <v>??</v>
      </c>
      <c r="K159" s="146" t="str">
        <f t="shared" si="4"/>
        <v>??</v>
      </c>
      <c r="L159" s="146" t="str">
        <f t="shared" si="4"/>
        <v>??</v>
      </c>
      <c r="M159" s="146" t="str">
        <f t="shared" si="4"/>
        <v>??</v>
      </c>
      <c r="N159" s="146" t="str">
        <f t="shared" si="4"/>
        <v>??</v>
      </c>
      <c r="O159" s="146" t="str">
        <f t="shared" si="4"/>
        <v>??</v>
      </c>
      <c r="P159" s="146" t="str">
        <f t="shared" si="4"/>
        <v>??</v>
      </c>
      <c r="Q159" s="146" t="str">
        <f t="shared" si="4"/>
        <v>??</v>
      </c>
      <c r="R159" s="146" t="str">
        <f t="shared" si="4"/>
        <v>??</v>
      </c>
      <c r="S159" s="146" t="str">
        <f t="shared" si="4"/>
        <v>??</v>
      </c>
      <c r="T159" s="146" t="str">
        <f t="shared" si="4"/>
        <v>??</v>
      </c>
      <c r="U159" s="146" t="str">
        <f t="shared" si="4"/>
        <v>??</v>
      </c>
      <c r="V159" s="146" t="str">
        <f t="shared" si="4"/>
        <v>??</v>
      </c>
      <c r="W159" s="146" t="str">
        <f t="shared" si="4"/>
        <v>??</v>
      </c>
      <c r="X159" s="146" t="str">
        <f t="shared" si="4"/>
        <v>??</v>
      </c>
      <c r="Y159" s="146" t="str">
        <f t="shared" si="4"/>
        <v>??</v>
      </c>
      <c r="Z159" s="146" t="str">
        <f t="shared" si="4"/>
        <v>??</v>
      </c>
      <c r="AA159" s="146" t="str">
        <f t="shared" si="4"/>
        <v>??</v>
      </c>
      <c r="AB159" s="146" t="str">
        <f t="shared" si="4"/>
        <v>??</v>
      </c>
      <c r="DP159" s="58"/>
      <c r="DQ159" s="58"/>
    </row>
    <row r="160" spans="1:121" s="52" customFormat="1" ht="3" customHeight="1">
      <c r="A160" s="55"/>
      <c r="B160" s="99"/>
      <c r="C160" s="106"/>
      <c r="D160" s="100"/>
      <c r="E160" s="113"/>
      <c r="F160" s="113"/>
      <c r="G160" s="113"/>
      <c r="H160" s="113"/>
      <c r="I160" s="153"/>
      <c r="J160" s="153"/>
      <c r="K160" s="153"/>
      <c r="L160" s="154"/>
      <c r="M160" s="150"/>
      <c r="N160" s="149"/>
      <c r="O160" s="149"/>
      <c r="P160" s="149"/>
      <c r="Q160" s="149"/>
      <c r="R160" s="149"/>
      <c r="S160" s="149"/>
      <c r="T160" s="149"/>
      <c r="U160" s="149"/>
      <c r="V160" s="149"/>
      <c r="W160" s="149"/>
      <c r="X160" s="149"/>
      <c r="Y160" s="149"/>
      <c r="Z160" s="149"/>
      <c r="AA160" s="149"/>
      <c r="AB160" s="149"/>
      <c r="DP160" s="58"/>
      <c r="DQ160" s="58"/>
    </row>
    <row r="161" spans="1:121" s="52" customFormat="1" ht="40.200000000000003">
      <c r="A161" s="55"/>
      <c r="B161" s="305" t="s">
        <v>427</v>
      </c>
      <c r="C161" s="106" t="s">
        <v>516</v>
      </c>
      <c r="D161" s="359" t="s">
        <v>528</v>
      </c>
      <c r="E161" s="92" t="s">
        <v>8</v>
      </c>
      <c r="F161" s="101" t="s">
        <v>115</v>
      </c>
      <c r="G161" s="113"/>
      <c r="H161" s="113"/>
      <c r="I161" s="146" t="str">
        <f t="shared" ref="I161:AB161" si="5">IF(ISNUMBER(I157),+I157*(1-EXP(-k_ar*180))/(k_ar*180),"??")</f>
        <v>??</v>
      </c>
      <c r="J161" s="146" t="str">
        <f t="shared" si="5"/>
        <v>??</v>
      </c>
      <c r="K161" s="146" t="str">
        <f t="shared" si="5"/>
        <v>??</v>
      </c>
      <c r="L161" s="146" t="str">
        <f t="shared" si="5"/>
        <v>??</v>
      </c>
      <c r="M161" s="146" t="str">
        <f t="shared" si="5"/>
        <v>??</v>
      </c>
      <c r="N161" s="146" t="str">
        <f t="shared" si="5"/>
        <v>??</v>
      </c>
      <c r="O161" s="146" t="str">
        <f t="shared" si="5"/>
        <v>??</v>
      </c>
      <c r="P161" s="146" t="str">
        <f t="shared" si="5"/>
        <v>??</v>
      </c>
      <c r="Q161" s="146" t="str">
        <f t="shared" si="5"/>
        <v>??</v>
      </c>
      <c r="R161" s="146" t="str">
        <f t="shared" si="5"/>
        <v>??</v>
      </c>
      <c r="S161" s="146" t="str">
        <f t="shared" si="5"/>
        <v>??</v>
      </c>
      <c r="T161" s="146" t="str">
        <f t="shared" si="5"/>
        <v>??</v>
      </c>
      <c r="U161" s="146" t="str">
        <f t="shared" si="5"/>
        <v>??</v>
      </c>
      <c r="V161" s="146" t="str">
        <f t="shared" si="5"/>
        <v>??</v>
      </c>
      <c r="W161" s="146" t="str">
        <f t="shared" si="5"/>
        <v>??</v>
      </c>
      <c r="X161" s="146" t="str">
        <f t="shared" si="5"/>
        <v>??</v>
      </c>
      <c r="Y161" s="146" t="str">
        <f t="shared" si="5"/>
        <v>??</v>
      </c>
      <c r="Z161" s="146" t="str">
        <f t="shared" si="5"/>
        <v>??</v>
      </c>
      <c r="AA161" s="146" t="str">
        <f t="shared" si="5"/>
        <v>??</v>
      </c>
      <c r="AB161" s="146" t="str">
        <f t="shared" si="5"/>
        <v>??</v>
      </c>
      <c r="DP161" s="58"/>
      <c r="DQ161" s="58"/>
    </row>
    <row r="162" spans="1:121" s="52" customFormat="1" ht="13.5" customHeight="1">
      <c r="A162" s="55"/>
      <c r="B162" s="100"/>
      <c r="C162" s="83"/>
      <c r="D162" s="96"/>
      <c r="E162" s="113"/>
      <c r="F162" s="113"/>
      <c r="G162" s="113"/>
      <c r="H162" s="113"/>
      <c r="I162" s="153"/>
      <c r="J162" s="153"/>
      <c r="K162" s="153"/>
      <c r="L162" s="154"/>
      <c r="M162" s="150"/>
      <c r="N162" s="149"/>
      <c r="O162" s="149"/>
      <c r="P162" s="149"/>
      <c r="Q162" s="149"/>
      <c r="R162" s="149"/>
      <c r="S162" s="149"/>
      <c r="T162" s="149"/>
      <c r="U162" s="149"/>
      <c r="V162" s="149"/>
      <c r="W162" s="149"/>
      <c r="X162" s="149"/>
      <c r="Y162" s="149"/>
      <c r="Z162" s="149"/>
      <c r="AA162" s="149"/>
      <c r="AB162" s="149"/>
      <c r="DP162" s="58"/>
      <c r="DQ162" s="58"/>
    </row>
    <row r="163" spans="1:121" s="52" customFormat="1" ht="17.399999999999999">
      <c r="A163" s="55"/>
      <c r="B163" s="175" t="s">
        <v>160</v>
      </c>
      <c r="C163" s="160"/>
      <c r="D163" s="96"/>
      <c r="E163" s="92"/>
      <c r="F163" s="101"/>
      <c r="G163" s="101"/>
      <c r="H163" s="105"/>
      <c r="I163" s="83"/>
      <c r="J163" s="83"/>
      <c r="K163" s="83"/>
      <c r="L163" s="83"/>
      <c r="M163" s="106"/>
      <c r="N163" s="83"/>
      <c r="O163" s="83"/>
      <c r="P163" s="83"/>
      <c r="Q163" s="83"/>
      <c r="R163" s="83"/>
      <c r="S163" s="83"/>
      <c r="T163" s="83"/>
      <c r="U163" s="83"/>
      <c r="V163" s="83"/>
      <c r="W163" s="83"/>
      <c r="X163" s="83"/>
      <c r="Y163" s="83"/>
      <c r="Z163" s="83"/>
      <c r="AA163" s="83"/>
      <c r="AB163" s="83"/>
    </row>
    <row r="164" spans="1:121" s="52" customFormat="1" ht="40.200000000000003">
      <c r="A164" s="55"/>
      <c r="B164" s="99" t="s">
        <v>175</v>
      </c>
      <c r="C164" s="86" t="s">
        <v>429</v>
      </c>
      <c r="D164" s="358" t="s">
        <v>529</v>
      </c>
      <c r="E164" s="92" t="s">
        <v>8</v>
      </c>
      <c r="F164" s="338" t="s">
        <v>401</v>
      </c>
      <c r="G164" s="101"/>
      <c r="H164" s="105"/>
      <c r="I164" s="146" t="str">
        <f t="shared" ref="I164:AB164" si="6">IF(AND(ISNUMBER(I161),Ksoil_water&gt;0),I161*RHOsoilwet/Ksoil_water,"??")</f>
        <v>??</v>
      </c>
      <c r="J164" s="146" t="str">
        <f t="shared" si="6"/>
        <v>??</v>
      </c>
      <c r="K164" s="146" t="str">
        <f t="shared" si="6"/>
        <v>??</v>
      </c>
      <c r="L164" s="146" t="str">
        <f t="shared" si="6"/>
        <v>??</v>
      </c>
      <c r="M164" s="146" t="str">
        <f t="shared" si="6"/>
        <v>??</v>
      </c>
      <c r="N164" s="146" t="str">
        <f t="shared" si="6"/>
        <v>??</v>
      </c>
      <c r="O164" s="146" t="str">
        <f t="shared" si="6"/>
        <v>??</v>
      </c>
      <c r="P164" s="146" t="str">
        <f t="shared" si="6"/>
        <v>??</v>
      </c>
      <c r="Q164" s="146" t="str">
        <f t="shared" si="6"/>
        <v>??</v>
      </c>
      <c r="R164" s="146" t="str">
        <f t="shared" si="6"/>
        <v>??</v>
      </c>
      <c r="S164" s="146" t="str">
        <f t="shared" si="6"/>
        <v>??</v>
      </c>
      <c r="T164" s="146" t="str">
        <f t="shared" si="6"/>
        <v>??</v>
      </c>
      <c r="U164" s="146" t="str">
        <f t="shared" si="6"/>
        <v>??</v>
      </c>
      <c r="V164" s="146" t="str">
        <f t="shared" si="6"/>
        <v>??</v>
      </c>
      <c r="W164" s="146" t="str">
        <f t="shared" si="6"/>
        <v>??</v>
      </c>
      <c r="X164" s="146" t="str">
        <f t="shared" si="6"/>
        <v>??</v>
      </c>
      <c r="Y164" s="146" t="str">
        <f t="shared" si="6"/>
        <v>??</v>
      </c>
      <c r="Z164" s="146" t="str">
        <f t="shared" si="6"/>
        <v>??</v>
      </c>
      <c r="AA164" s="146" t="str">
        <f t="shared" si="6"/>
        <v>??</v>
      </c>
      <c r="AB164" s="146" t="str">
        <f t="shared" si="6"/>
        <v>??</v>
      </c>
    </row>
    <row r="165" spans="1:121" s="52" customFormat="1" ht="5.0999999999999996" customHeight="1">
      <c r="A165" s="55"/>
      <c r="B165" s="96"/>
      <c r="C165" s="86"/>
      <c r="D165" s="358"/>
      <c r="E165" s="92"/>
      <c r="F165" s="101"/>
      <c r="G165" s="101"/>
      <c r="H165" s="105"/>
      <c r="I165" s="117"/>
      <c r="J165" s="117"/>
      <c r="K165" s="117"/>
      <c r="L165" s="117"/>
      <c r="M165" s="118"/>
      <c r="N165" s="117"/>
      <c r="O165" s="117"/>
      <c r="P165" s="117"/>
      <c r="Q165" s="117"/>
      <c r="R165" s="117"/>
      <c r="S165" s="117"/>
      <c r="T165" s="117"/>
      <c r="U165" s="117"/>
      <c r="V165" s="117"/>
      <c r="W165" s="117"/>
      <c r="X165" s="117"/>
      <c r="Y165" s="117"/>
      <c r="Z165" s="117"/>
      <c r="AA165" s="117"/>
      <c r="AB165" s="117"/>
    </row>
    <row r="166" spans="1:121" s="52" customFormat="1" ht="27.6">
      <c r="A166" s="55"/>
      <c r="B166" s="93" t="s">
        <v>177</v>
      </c>
      <c r="C166" s="86" t="s">
        <v>430</v>
      </c>
      <c r="D166" s="361" t="s">
        <v>530</v>
      </c>
      <c r="E166" s="92" t="s">
        <v>8</v>
      </c>
      <c r="F166" s="101" t="s">
        <v>456</v>
      </c>
      <c r="G166" s="101"/>
      <c r="H166" s="105"/>
      <c r="I166" s="146" t="str">
        <f t="shared" ref="I166:AB166" si="7">IF(AND(ISNUMBER(I159),ISNUMBER(Ksoil_water)),I159*RHOsoilwet/(Ksoil_water*DILUTION*1000),"??")</f>
        <v>??</v>
      </c>
      <c r="J166" s="146" t="str">
        <f t="shared" si="7"/>
        <v>??</v>
      </c>
      <c r="K166" s="146" t="str">
        <f t="shared" si="7"/>
        <v>??</v>
      </c>
      <c r="L166" s="146" t="str">
        <f t="shared" si="7"/>
        <v>??</v>
      </c>
      <c r="M166" s="146" t="str">
        <f t="shared" si="7"/>
        <v>??</v>
      </c>
      <c r="N166" s="146" t="str">
        <f t="shared" si="7"/>
        <v>??</v>
      </c>
      <c r="O166" s="146" t="str">
        <f t="shared" si="7"/>
        <v>??</v>
      </c>
      <c r="P166" s="146" t="str">
        <f t="shared" si="7"/>
        <v>??</v>
      </c>
      <c r="Q166" s="146" t="str">
        <f t="shared" si="7"/>
        <v>??</v>
      </c>
      <c r="R166" s="146" t="str">
        <f t="shared" si="7"/>
        <v>??</v>
      </c>
      <c r="S166" s="146" t="str">
        <f t="shared" si="7"/>
        <v>??</v>
      </c>
      <c r="T166" s="146" t="str">
        <f t="shared" si="7"/>
        <v>??</v>
      </c>
      <c r="U166" s="146" t="str">
        <f t="shared" si="7"/>
        <v>??</v>
      </c>
      <c r="V166" s="146" t="str">
        <f t="shared" si="7"/>
        <v>??</v>
      </c>
      <c r="W166" s="146" t="str">
        <f t="shared" si="7"/>
        <v>??</v>
      </c>
      <c r="X166" s="146" t="str">
        <f t="shared" si="7"/>
        <v>??</v>
      </c>
      <c r="Y166" s="146" t="str">
        <f t="shared" si="7"/>
        <v>??</v>
      </c>
      <c r="Z166" s="146" t="str">
        <f t="shared" si="7"/>
        <v>??</v>
      </c>
      <c r="AA166" s="146" t="str">
        <f t="shared" si="7"/>
        <v>??</v>
      </c>
      <c r="AB166" s="146" t="str">
        <f t="shared" si="7"/>
        <v>??</v>
      </c>
    </row>
    <row r="167" spans="1:121" s="52" customFormat="1" ht="5.0999999999999996" customHeight="1">
      <c r="A167" s="55"/>
      <c r="B167" s="93"/>
      <c r="C167" s="86"/>
      <c r="D167" s="358"/>
      <c r="E167" s="92"/>
      <c r="F167" s="101"/>
      <c r="G167" s="101"/>
      <c r="H167" s="105"/>
      <c r="I167" s="83"/>
      <c r="J167" s="105"/>
      <c r="K167" s="92"/>
      <c r="L167" s="83"/>
      <c r="M167" s="106"/>
      <c r="N167" s="83"/>
      <c r="O167" s="83"/>
      <c r="P167" s="83"/>
      <c r="Q167" s="83"/>
      <c r="R167" s="83"/>
      <c r="S167" s="83"/>
      <c r="T167" s="83"/>
      <c r="U167" s="83"/>
      <c r="V167" s="83"/>
      <c r="W167" s="83"/>
      <c r="X167" s="83"/>
      <c r="Y167" s="83"/>
      <c r="Z167" s="83"/>
      <c r="AA167" s="83"/>
      <c r="AB167" s="83"/>
    </row>
    <row r="168" spans="1:121" s="52" customFormat="1" ht="27.6">
      <c r="A168" s="55"/>
      <c r="B168" s="99" t="s">
        <v>161</v>
      </c>
      <c r="C168" s="305" t="s">
        <v>173</v>
      </c>
      <c r="D168" s="305" t="s">
        <v>458</v>
      </c>
      <c r="E168" s="174" t="s">
        <v>8</v>
      </c>
      <c r="F168" s="101" t="s">
        <v>115</v>
      </c>
      <c r="G168" s="101"/>
      <c r="H168" s="105"/>
      <c r="I168" s="146" t="str">
        <f t="shared" ref="I168:AB168" si="8">IF(AND(ISNUMBER(I166),ISNUMBER(Ksusp_water)),I166*Ksusp_water*1000/RHOsusp,"??")</f>
        <v>??</v>
      </c>
      <c r="J168" s="146" t="str">
        <f t="shared" si="8"/>
        <v>??</v>
      </c>
      <c r="K168" s="146" t="str">
        <f t="shared" si="8"/>
        <v>??</v>
      </c>
      <c r="L168" s="146" t="str">
        <f t="shared" si="8"/>
        <v>??</v>
      </c>
      <c r="M168" s="146" t="str">
        <f t="shared" si="8"/>
        <v>??</v>
      </c>
      <c r="N168" s="146" t="str">
        <f t="shared" si="8"/>
        <v>??</v>
      </c>
      <c r="O168" s="146" t="str">
        <f t="shared" si="8"/>
        <v>??</v>
      </c>
      <c r="P168" s="146" t="str">
        <f t="shared" si="8"/>
        <v>??</v>
      </c>
      <c r="Q168" s="146" t="str">
        <f t="shared" si="8"/>
        <v>??</v>
      </c>
      <c r="R168" s="146" t="str">
        <f t="shared" si="8"/>
        <v>??</v>
      </c>
      <c r="S168" s="146" t="str">
        <f t="shared" si="8"/>
        <v>??</v>
      </c>
      <c r="T168" s="146" t="str">
        <f t="shared" si="8"/>
        <v>??</v>
      </c>
      <c r="U168" s="146" t="str">
        <f t="shared" si="8"/>
        <v>??</v>
      </c>
      <c r="V168" s="146" t="str">
        <f t="shared" si="8"/>
        <v>??</v>
      </c>
      <c r="W168" s="146" t="str">
        <f t="shared" si="8"/>
        <v>??</v>
      </c>
      <c r="X168" s="146" t="str">
        <f t="shared" si="8"/>
        <v>??</v>
      </c>
      <c r="Y168" s="146" t="str">
        <f t="shared" si="8"/>
        <v>??</v>
      </c>
      <c r="Z168" s="146" t="str">
        <f t="shared" si="8"/>
        <v>??</v>
      </c>
      <c r="AA168" s="146" t="str">
        <f t="shared" si="8"/>
        <v>??</v>
      </c>
      <c r="AB168" s="146" t="str">
        <f t="shared" si="8"/>
        <v>??</v>
      </c>
      <c r="AC168" s="55"/>
    </row>
    <row r="169" spans="1:121" s="52" customFormat="1" ht="13.5" customHeight="1">
      <c r="A169" s="55"/>
      <c r="B169" s="113"/>
      <c r="C169" s="113"/>
      <c r="D169" s="136"/>
      <c r="E169" s="113"/>
      <c r="F169" s="113"/>
      <c r="G169" s="113"/>
      <c r="H169" s="113"/>
      <c r="I169" s="153"/>
      <c r="J169" s="153"/>
      <c r="K169" s="153"/>
      <c r="L169" s="154"/>
      <c r="M169" s="150"/>
      <c r="N169" s="149"/>
      <c r="O169" s="149"/>
      <c r="P169" s="149"/>
      <c r="Q169" s="149"/>
      <c r="R169" s="149"/>
      <c r="S169" s="149"/>
      <c r="T169" s="149"/>
      <c r="U169" s="149"/>
      <c r="V169" s="149"/>
      <c r="W169" s="149"/>
      <c r="X169" s="149"/>
      <c r="Y169" s="149"/>
      <c r="Z169" s="149"/>
      <c r="AA169" s="149"/>
      <c r="AB169" s="149"/>
      <c r="DP169" s="58"/>
      <c r="DQ169" s="58"/>
    </row>
    <row r="170" spans="1:121" s="52" customFormat="1" ht="17.399999999999999">
      <c r="A170" s="55"/>
      <c r="B170" s="133" t="s">
        <v>94</v>
      </c>
      <c r="C170" s="133"/>
      <c r="D170" s="133"/>
      <c r="E170" s="133"/>
      <c r="F170" s="133"/>
      <c r="G170" s="133"/>
      <c r="H170" s="133"/>
      <c r="I170" s="149"/>
      <c r="J170" s="155"/>
      <c r="K170" s="155"/>
      <c r="L170" s="149"/>
      <c r="M170" s="150"/>
      <c r="N170" s="149"/>
      <c r="O170" s="149"/>
      <c r="P170" s="149"/>
      <c r="Q170" s="149"/>
      <c r="R170" s="149"/>
      <c r="S170" s="149"/>
      <c r="T170" s="149"/>
      <c r="U170" s="149"/>
      <c r="V170" s="149"/>
      <c r="W170" s="149"/>
      <c r="X170" s="149"/>
      <c r="Y170" s="149"/>
      <c r="Z170" s="149"/>
      <c r="AA170" s="149"/>
      <c r="AB170" s="149"/>
    </row>
    <row r="171" spans="1:121" s="52" customFormat="1" ht="50.4">
      <c r="A171" s="55"/>
      <c r="B171" s="305" t="s">
        <v>444</v>
      </c>
      <c r="C171" s="83" t="s">
        <v>433</v>
      </c>
      <c r="D171" s="358" t="s">
        <v>531</v>
      </c>
      <c r="E171" s="92" t="s">
        <v>8</v>
      </c>
      <c r="F171" s="101" t="s">
        <v>115</v>
      </c>
      <c r="G171" s="101"/>
      <c r="H171" s="133"/>
      <c r="I171" s="146" t="str">
        <f t="shared" ref="I171:AB171" si="9">IF(AND(ISNUMBER(Qai_grass),ISNUMBER(I144)),100*Qai_grass*QN_grass/(I144*Nlapp_grass*DEPTHgrass*RHOsoilwet),"??")</f>
        <v>??</v>
      </c>
      <c r="J171" s="146" t="str">
        <f t="shared" si="9"/>
        <v>??</v>
      </c>
      <c r="K171" s="146" t="str">
        <f t="shared" si="9"/>
        <v>??</v>
      </c>
      <c r="L171" s="146" t="str">
        <f t="shared" si="9"/>
        <v>??</v>
      </c>
      <c r="M171" s="146" t="str">
        <f t="shared" si="9"/>
        <v>??</v>
      </c>
      <c r="N171" s="146" t="str">
        <f t="shared" si="9"/>
        <v>??</v>
      </c>
      <c r="O171" s="146" t="str">
        <f t="shared" si="9"/>
        <v>??</v>
      </c>
      <c r="P171" s="146" t="str">
        <f t="shared" si="9"/>
        <v>??</v>
      </c>
      <c r="Q171" s="146" t="str">
        <f t="shared" si="9"/>
        <v>??</v>
      </c>
      <c r="R171" s="146" t="str">
        <f t="shared" si="9"/>
        <v>??</v>
      </c>
      <c r="S171" s="146" t="str">
        <f t="shared" si="9"/>
        <v>??</v>
      </c>
      <c r="T171" s="146" t="str">
        <f t="shared" si="9"/>
        <v>??</v>
      </c>
      <c r="U171" s="146" t="str">
        <f t="shared" si="9"/>
        <v>??</v>
      </c>
      <c r="V171" s="146" t="str">
        <f t="shared" si="9"/>
        <v>??</v>
      </c>
      <c r="W171" s="146" t="str">
        <f t="shared" si="9"/>
        <v>??</v>
      </c>
      <c r="X171" s="146" t="str">
        <f t="shared" si="9"/>
        <v>??</v>
      </c>
      <c r="Y171" s="146" t="str">
        <f t="shared" si="9"/>
        <v>??</v>
      </c>
      <c r="Z171" s="146" t="str">
        <f t="shared" si="9"/>
        <v>??</v>
      </c>
      <c r="AA171" s="146" t="str">
        <f t="shared" si="9"/>
        <v>??</v>
      </c>
      <c r="AB171" s="146" t="str">
        <f t="shared" si="9"/>
        <v>??</v>
      </c>
    </row>
    <row r="172" spans="1:121" s="52" customFormat="1" ht="3" customHeight="1">
      <c r="A172" s="55"/>
      <c r="B172" s="96"/>
      <c r="C172" s="159"/>
      <c r="D172" s="358"/>
      <c r="E172" s="96"/>
      <c r="F172" s="83"/>
      <c r="G172" s="83"/>
      <c r="H172" s="83"/>
      <c r="I172" s="149"/>
      <c r="J172" s="156"/>
      <c r="K172" s="155"/>
      <c r="L172" s="157"/>
      <c r="M172" s="150"/>
      <c r="N172" s="149"/>
      <c r="O172" s="149"/>
      <c r="P172" s="149"/>
      <c r="Q172" s="149"/>
      <c r="R172" s="149"/>
      <c r="S172" s="149"/>
      <c r="T172" s="149"/>
      <c r="U172" s="149"/>
      <c r="V172" s="149"/>
      <c r="W172" s="149"/>
      <c r="X172" s="149"/>
      <c r="Y172" s="149"/>
      <c r="Z172" s="149"/>
      <c r="AA172" s="149"/>
      <c r="AB172" s="149"/>
    </row>
    <row r="173" spans="1:121" s="52" customFormat="1" ht="50.4">
      <c r="A173" s="55"/>
      <c r="B173" s="305" t="s">
        <v>445</v>
      </c>
      <c r="C173" s="83" t="s">
        <v>434</v>
      </c>
      <c r="D173" s="358" t="s">
        <v>532</v>
      </c>
      <c r="E173" s="92" t="s">
        <v>8</v>
      </c>
      <c r="F173" s="101" t="s">
        <v>115</v>
      </c>
      <c r="G173" s="101"/>
      <c r="H173" s="101"/>
      <c r="I173" s="146" t="str">
        <f t="shared" ref="I173:AB173" si="10">IF(AND(ISNUMBER(Qai_grass),ISNUMBER(I144)),100*Qai_grass*QN_grass/(I144*DEPTHgrass*RHOsoilwet),"??")</f>
        <v>??</v>
      </c>
      <c r="J173" s="146" t="str">
        <f t="shared" si="10"/>
        <v>??</v>
      </c>
      <c r="K173" s="146" t="str">
        <f t="shared" si="10"/>
        <v>??</v>
      </c>
      <c r="L173" s="146" t="str">
        <f t="shared" si="10"/>
        <v>??</v>
      </c>
      <c r="M173" s="146" t="str">
        <f t="shared" si="10"/>
        <v>??</v>
      </c>
      <c r="N173" s="146" t="str">
        <f t="shared" si="10"/>
        <v>??</v>
      </c>
      <c r="O173" s="146" t="str">
        <f t="shared" si="10"/>
        <v>??</v>
      </c>
      <c r="P173" s="146" t="str">
        <f t="shared" si="10"/>
        <v>??</v>
      </c>
      <c r="Q173" s="146" t="str">
        <f t="shared" si="10"/>
        <v>??</v>
      </c>
      <c r="R173" s="146" t="str">
        <f t="shared" si="10"/>
        <v>??</v>
      </c>
      <c r="S173" s="146" t="str">
        <f t="shared" si="10"/>
        <v>??</v>
      </c>
      <c r="T173" s="146" t="str">
        <f t="shared" si="10"/>
        <v>??</v>
      </c>
      <c r="U173" s="146" t="str">
        <f t="shared" si="10"/>
        <v>??</v>
      </c>
      <c r="V173" s="146" t="str">
        <f t="shared" si="10"/>
        <v>??</v>
      </c>
      <c r="W173" s="146" t="str">
        <f t="shared" si="10"/>
        <v>??</v>
      </c>
      <c r="X173" s="146" t="str">
        <f t="shared" si="10"/>
        <v>??</v>
      </c>
      <c r="Y173" s="146" t="str">
        <f t="shared" si="10"/>
        <v>??</v>
      </c>
      <c r="Z173" s="146" t="str">
        <f t="shared" si="10"/>
        <v>??</v>
      </c>
      <c r="AA173" s="146" t="str">
        <f t="shared" si="10"/>
        <v>??</v>
      </c>
      <c r="AB173" s="146" t="str">
        <f t="shared" si="10"/>
        <v>??</v>
      </c>
    </row>
    <row r="174" spans="1:121" s="52" customFormat="1" ht="3" customHeight="1">
      <c r="A174" s="55"/>
      <c r="B174" s="96"/>
      <c r="C174" s="83"/>
      <c r="D174" s="96"/>
      <c r="E174" s="92"/>
      <c r="F174" s="101"/>
      <c r="G174" s="101"/>
      <c r="H174" s="101"/>
      <c r="I174" s="149"/>
      <c r="J174" s="149"/>
      <c r="K174" s="149"/>
      <c r="L174" s="149"/>
      <c r="M174" s="150"/>
      <c r="N174" s="149"/>
      <c r="O174" s="149"/>
      <c r="P174" s="149"/>
      <c r="Q174" s="149"/>
      <c r="R174" s="149"/>
      <c r="S174" s="149"/>
      <c r="T174" s="149"/>
      <c r="U174" s="149"/>
      <c r="V174" s="149"/>
      <c r="W174" s="149"/>
      <c r="X174" s="149"/>
      <c r="Y174" s="149"/>
      <c r="Z174" s="149"/>
      <c r="AA174" s="149"/>
      <c r="AB174" s="149"/>
    </row>
    <row r="175" spans="1:121" s="52" customFormat="1" ht="15" customHeight="1">
      <c r="A175" s="55"/>
      <c r="B175" s="364" t="s">
        <v>446</v>
      </c>
      <c r="C175" s="83"/>
      <c r="D175" s="96"/>
      <c r="E175" s="92"/>
      <c r="F175" s="101"/>
      <c r="G175" s="101"/>
      <c r="H175" s="101"/>
      <c r="I175" s="149"/>
      <c r="J175" s="149"/>
      <c r="K175" s="149"/>
      <c r="L175" s="149"/>
      <c r="M175" s="150"/>
      <c r="N175" s="149"/>
      <c r="O175" s="149"/>
      <c r="P175" s="149"/>
      <c r="Q175" s="149"/>
      <c r="R175" s="149"/>
      <c r="S175" s="149"/>
      <c r="T175" s="149"/>
      <c r="U175" s="149"/>
      <c r="V175" s="149"/>
      <c r="W175" s="149"/>
      <c r="X175" s="149"/>
      <c r="Y175" s="149"/>
      <c r="Z175" s="149"/>
      <c r="AA175" s="149"/>
      <c r="AB175" s="149"/>
    </row>
    <row r="176" spans="1:121" s="52" customFormat="1" ht="50.4">
      <c r="A176" s="55"/>
      <c r="B176" s="305" t="s">
        <v>447</v>
      </c>
      <c r="C176" s="83" t="s">
        <v>435</v>
      </c>
      <c r="D176" s="359" t="s">
        <v>533</v>
      </c>
      <c r="E176" s="92" t="s">
        <v>8</v>
      </c>
      <c r="F176" s="101" t="s">
        <v>115</v>
      </c>
      <c r="G176" s="101"/>
      <c r="H176" s="101"/>
      <c r="I176" s="146" t="str">
        <f t="shared" ref="I176:AB176" si="11">IF(ISNUMBER(k_gr),IF(AND(k_gr&gt;0,ISNUMBER(I171)),I171*((1-POWER(EXP(-k_gr*Tgr_int),Nlapp_grass)))/(1-EXP(-k_gr*Tgr_int)),"??"),"??")</f>
        <v>??</v>
      </c>
      <c r="J176" s="146" t="str">
        <f t="shared" si="11"/>
        <v>??</v>
      </c>
      <c r="K176" s="146" t="str">
        <f t="shared" si="11"/>
        <v>??</v>
      </c>
      <c r="L176" s="146" t="str">
        <f t="shared" si="11"/>
        <v>??</v>
      </c>
      <c r="M176" s="146" t="str">
        <f t="shared" si="11"/>
        <v>??</v>
      </c>
      <c r="N176" s="146" t="str">
        <f t="shared" si="11"/>
        <v>??</v>
      </c>
      <c r="O176" s="146" t="str">
        <f t="shared" si="11"/>
        <v>??</v>
      </c>
      <c r="P176" s="146" t="str">
        <f t="shared" si="11"/>
        <v>??</v>
      </c>
      <c r="Q176" s="146" t="str">
        <f t="shared" si="11"/>
        <v>??</v>
      </c>
      <c r="R176" s="146" t="str">
        <f t="shared" si="11"/>
        <v>??</v>
      </c>
      <c r="S176" s="146" t="str">
        <f t="shared" si="11"/>
        <v>??</v>
      </c>
      <c r="T176" s="146" t="str">
        <f t="shared" si="11"/>
        <v>??</v>
      </c>
      <c r="U176" s="146" t="str">
        <f t="shared" si="11"/>
        <v>??</v>
      </c>
      <c r="V176" s="146" t="str">
        <f t="shared" si="11"/>
        <v>??</v>
      </c>
      <c r="W176" s="146" t="str">
        <f t="shared" si="11"/>
        <v>??</v>
      </c>
      <c r="X176" s="146" t="str">
        <f t="shared" si="11"/>
        <v>??</v>
      </c>
      <c r="Y176" s="146" t="str">
        <f t="shared" si="11"/>
        <v>??</v>
      </c>
      <c r="Z176" s="146" t="str">
        <f t="shared" si="11"/>
        <v>??</v>
      </c>
      <c r="AA176" s="146" t="str">
        <f t="shared" si="11"/>
        <v>??</v>
      </c>
      <c r="AB176" s="146" t="str">
        <f t="shared" si="11"/>
        <v>??</v>
      </c>
    </row>
    <row r="177" spans="1:121" s="52" customFormat="1" ht="3" customHeight="1">
      <c r="A177" s="55"/>
      <c r="B177" s="113"/>
      <c r="C177" s="113"/>
      <c r="D177" s="136"/>
      <c r="E177" s="113"/>
      <c r="F177" s="113"/>
      <c r="G177" s="113"/>
      <c r="H177" s="113"/>
      <c r="I177" s="151"/>
      <c r="J177" s="151"/>
      <c r="K177" s="151"/>
      <c r="L177" s="152"/>
      <c r="M177" s="148"/>
      <c r="N177" s="147"/>
      <c r="O177" s="147"/>
      <c r="P177" s="147"/>
      <c r="Q177" s="147"/>
      <c r="R177" s="147"/>
      <c r="S177" s="147"/>
      <c r="T177" s="147"/>
      <c r="U177" s="147"/>
      <c r="V177" s="147"/>
      <c r="W177" s="147"/>
      <c r="X177" s="147"/>
      <c r="Y177" s="147"/>
      <c r="Z177" s="147"/>
      <c r="AA177" s="147"/>
      <c r="AB177" s="147"/>
      <c r="DP177" s="58"/>
      <c r="DQ177" s="58"/>
    </row>
    <row r="178" spans="1:121" s="52" customFormat="1" ht="15" customHeight="1">
      <c r="A178" s="55"/>
      <c r="B178" s="364" t="s">
        <v>442</v>
      </c>
      <c r="C178" s="83"/>
      <c r="D178" s="96"/>
      <c r="E178" s="92"/>
      <c r="F178" s="101"/>
      <c r="G178" s="101"/>
      <c r="H178" s="101"/>
      <c r="I178" s="149"/>
      <c r="J178" s="149"/>
      <c r="K178" s="149"/>
      <c r="L178" s="149"/>
      <c r="M178" s="150"/>
      <c r="N178" s="149"/>
      <c r="O178" s="149"/>
      <c r="P178" s="149"/>
      <c r="Q178" s="149"/>
      <c r="R178" s="149"/>
      <c r="S178" s="149"/>
      <c r="T178" s="149"/>
      <c r="U178" s="149"/>
      <c r="V178" s="149"/>
      <c r="W178" s="149"/>
      <c r="X178" s="149"/>
      <c r="Y178" s="149"/>
      <c r="Z178" s="149"/>
      <c r="AA178" s="149"/>
      <c r="AB178" s="149"/>
    </row>
    <row r="179" spans="1:121" s="52" customFormat="1" ht="50.4">
      <c r="A179" s="55"/>
      <c r="B179" s="305" t="s">
        <v>448</v>
      </c>
      <c r="C179" s="106" t="s">
        <v>436</v>
      </c>
      <c r="D179" s="362" t="s">
        <v>534</v>
      </c>
      <c r="E179" s="92" t="s">
        <v>8</v>
      </c>
      <c r="F179" s="101" t="s">
        <v>115</v>
      </c>
      <c r="G179" s="101"/>
      <c r="H179" s="101"/>
      <c r="I179" s="146" t="str">
        <f t="shared" ref="I179:AB179" si="12">IF(AND(ISNUMBER(I176),ISNUMBER(k_gr)),I176*(1-(POWER(EXP(-k_gr*365),10)))/(1-EXP(-k_gr*365)),"??")</f>
        <v>??</v>
      </c>
      <c r="J179" s="146" t="str">
        <f t="shared" si="12"/>
        <v>??</v>
      </c>
      <c r="K179" s="146" t="str">
        <f t="shared" si="12"/>
        <v>??</v>
      </c>
      <c r="L179" s="146" t="str">
        <f t="shared" si="12"/>
        <v>??</v>
      </c>
      <c r="M179" s="146" t="str">
        <f t="shared" si="12"/>
        <v>??</v>
      </c>
      <c r="N179" s="146" t="str">
        <f t="shared" si="12"/>
        <v>??</v>
      </c>
      <c r="O179" s="146" t="str">
        <f t="shared" si="12"/>
        <v>??</v>
      </c>
      <c r="P179" s="146" t="str">
        <f t="shared" si="12"/>
        <v>??</v>
      </c>
      <c r="Q179" s="146" t="str">
        <f t="shared" si="12"/>
        <v>??</v>
      </c>
      <c r="R179" s="146" t="str">
        <f t="shared" si="12"/>
        <v>??</v>
      </c>
      <c r="S179" s="146" t="str">
        <f t="shared" si="12"/>
        <v>??</v>
      </c>
      <c r="T179" s="146" t="str">
        <f t="shared" si="12"/>
        <v>??</v>
      </c>
      <c r="U179" s="146" t="str">
        <f t="shared" si="12"/>
        <v>??</v>
      </c>
      <c r="V179" s="146" t="str">
        <f t="shared" si="12"/>
        <v>??</v>
      </c>
      <c r="W179" s="146" t="str">
        <f t="shared" si="12"/>
        <v>??</v>
      </c>
      <c r="X179" s="146" t="str">
        <f t="shared" si="12"/>
        <v>??</v>
      </c>
      <c r="Y179" s="146" t="str">
        <f t="shared" si="12"/>
        <v>??</v>
      </c>
      <c r="Z179" s="146" t="str">
        <f t="shared" si="12"/>
        <v>??</v>
      </c>
      <c r="AA179" s="146" t="str">
        <f t="shared" si="12"/>
        <v>??</v>
      </c>
      <c r="AB179" s="146" t="str">
        <f t="shared" si="12"/>
        <v>??</v>
      </c>
    </row>
    <row r="180" spans="1:121" s="52" customFormat="1" ht="3" customHeight="1">
      <c r="A180" s="55"/>
      <c r="B180" s="113"/>
      <c r="C180" s="113"/>
      <c r="D180" s="136"/>
      <c r="E180" s="113"/>
      <c r="F180" s="113"/>
      <c r="G180" s="113"/>
      <c r="H180" s="113"/>
      <c r="I180" s="116"/>
      <c r="J180" s="116"/>
      <c r="K180" s="116"/>
      <c r="L180" s="137"/>
      <c r="M180" s="118"/>
      <c r="N180" s="117"/>
      <c r="O180" s="117"/>
      <c r="P180" s="117"/>
      <c r="Q180" s="117"/>
      <c r="R180" s="117"/>
      <c r="S180" s="117"/>
      <c r="T180" s="117"/>
      <c r="U180" s="117"/>
      <c r="V180" s="117"/>
      <c r="W180" s="117"/>
      <c r="X180" s="117"/>
      <c r="Y180" s="117"/>
      <c r="Z180" s="117"/>
      <c r="AA180" s="117"/>
      <c r="AB180" s="117"/>
      <c r="DP180" s="58"/>
      <c r="DQ180" s="58"/>
    </row>
    <row r="181" spans="1:121" s="52" customFormat="1" ht="39">
      <c r="A181" s="55"/>
      <c r="B181" s="305" t="s">
        <v>431</v>
      </c>
      <c r="C181" s="85" t="s">
        <v>437</v>
      </c>
      <c r="D181" s="359" t="s">
        <v>535</v>
      </c>
      <c r="E181" s="92" t="s">
        <v>8</v>
      </c>
      <c r="F181" s="101" t="s">
        <v>115</v>
      </c>
      <c r="G181" s="101"/>
      <c r="H181" s="113"/>
      <c r="I181" s="146" t="str">
        <f t="shared" ref="I181:AB181" si="13">IF(ISNUMBER(I179),I179*(1-EXP(-k_gr*30))/(k_gr*30),"??")</f>
        <v>??</v>
      </c>
      <c r="J181" s="146" t="str">
        <f t="shared" si="13"/>
        <v>??</v>
      </c>
      <c r="K181" s="146" t="str">
        <f t="shared" si="13"/>
        <v>??</v>
      </c>
      <c r="L181" s="146" t="str">
        <f t="shared" si="13"/>
        <v>??</v>
      </c>
      <c r="M181" s="146" t="str">
        <f t="shared" si="13"/>
        <v>??</v>
      </c>
      <c r="N181" s="146" t="str">
        <f t="shared" si="13"/>
        <v>??</v>
      </c>
      <c r="O181" s="146" t="str">
        <f t="shared" si="13"/>
        <v>??</v>
      </c>
      <c r="P181" s="146" t="str">
        <f t="shared" si="13"/>
        <v>??</v>
      </c>
      <c r="Q181" s="146" t="str">
        <f t="shared" si="13"/>
        <v>??</v>
      </c>
      <c r="R181" s="146" t="str">
        <f t="shared" si="13"/>
        <v>??</v>
      </c>
      <c r="S181" s="146" t="str">
        <f t="shared" si="13"/>
        <v>??</v>
      </c>
      <c r="T181" s="146" t="str">
        <f t="shared" si="13"/>
        <v>??</v>
      </c>
      <c r="U181" s="146" t="str">
        <f t="shared" si="13"/>
        <v>??</v>
      </c>
      <c r="V181" s="146" t="str">
        <f t="shared" si="13"/>
        <v>??</v>
      </c>
      <c r="W181" s="146" t="str">
        <f t="shared" si="13"/>
        <v>??</v>
      </c>
      <c r="X181" s="146" t="str">
        <f t="shared" si="13"/>
        <v>??</v>
      </c>
      <c r="Y181" s="146" t="str">
        <f t="shared" si="13"/>
        <v>??</v>
      </c>
      <c r="Z181" s="146" t="str">
        <f t="shared" si="13"/>
        <v>??</v>
      </c>
      <c r="AA181" s="146" t="str">
        <f t="shared" si="13"/>
        <v>??</v>
      </c>
      <c r="AB181" s="146" t="str">
        <f t="shared" si="13"/>
        <v>??</v>
      </c>
      <c r="DP181" s="58"/>
      <c r="DQ181" s="58"/>
    </row>
    <row r="182" spans="1:121" s="52" customFormat="1" ht="3" customHeight="1">
      <c r="A182" s="55"/>
      <c r="B182" s="305"/>
      <c r="C182" s="85"/>
      <c r="D182" s="359"/>
      <c r="E182" s="113"/>
      <c r="F182" s="113"/>
      <c r="G182" s="113"/>
      <c r="H182" s="113"/>
      <c r="I182" s="83"/>
      <c r="J182" s="113"/>
      <c r="K182" s="113"/>
      <c r="L182" s="84"/>
      <c r="M182" s="106"/>
      <c r="N182" s="83"/>
      <c r="O182" s="83"/>
      <c r="P182" s="83"/>
      <c r="Q182" s="83"/>
      <c r="R182" s="83"/>
      <c r="S182" s="83"/>
      <c r="T182" s="83"/>
      <c r="U182" s="83"/>
      <c r="V182" s="83"/>
      <c r="W182" s="83"/>
      <c r="X182" s="83"/>
      <c r="Y182" s="83"/>
      <c r="Z182" s="83"/>
      <c r="AA182" s="83"/>
      <c r="AB182" s="83"/>
      <c r="DP182" s="58"/>
      <c r="DQ182" s="58"/>
    </row>
    <row r="183" spans="1:121" s="52" customFormat="1" ht="39">
      <c r="A183" s="55"/>
      <c r="B183" s="305" t="s">
        <v>432</v>
      </c>
      <c r="C183" s="85" t="s">
        <v>438</v>
      </c>
      <c r="D183" s="359" t="s">
        <v>536</v>
      </c>
      <c r="E183" s="92" t="s">
        <v>8</v>
      </c>
      <c r="F183" s="101" t="s">
        <v>115</v>
      </c>
      <c r="G183" s="113"/>
      <c r="H183" s="113"/>
      <c r="I183" s="146" t="str">
        <f t="shared" ref="I183:AB183" si="14">IF(ISNUMBER(I179),I179*(1-EXP(-k_gr*180))/(k_gr*180),"??")</f>
        <v>??</v>
      </c>
      <c r="J183" s="146" t="str">
        <f t="shared" si="14"/>
        <v>??</v>
      </c>
      <c r="K183" s="146" t="str">
        <f t="shared" si="14"/>
        <v>??</v>
      </c>
      <c r="L183" s="146" t="str">
        <f t="shared" si="14"/>
        <v>??</v>
      </c>
      <c r="M183" s="146" t="str">
        <f t="shared" si="14"/>
        <v>??</v>
      </c>
      <c r="N183" s="146" t="str">
        <f t="shared" si="14"/>
        <v>??</v>
      </c>
      <c r="O183" s="146" t="str">
        <f t="shared" si="14"/>
        <v>??</v>
      </c>
      <c r="P183" s="146" t="str">
        <f t="shared" si="14"/>
        <v>??</v>
      </c>
      <c r="Q183" s="146" t="str">
        <f t="shared" si="14"/>
        <v>??</v>
      </c>
      <c r="R183" s="146" t="str">
        <f t="shared" si="14"/>
        <v>??</v>
      </c>
      <c r="S183" s="146" t="str">
        <f t="shared" si="14"/>
        <v>??</v>
      </c>
      <c r="T183" s="146" t="str">
        <f t="shared" si="14"/>
        <v>??</v>
      </c>
      <c r="U183" s="146" t="str">
        <f t="shared" si="14"/>
        <v>??</v>
      </c>
      <c r="V183" s="146" t="str">
        <f t="shared" si="14"/>
        <v>??</v>
      </c>
      <c r="W183" s="146" t="str">
        <f t="shared" si="14"/>
        <v>??</v>
      </c>
      <c r="X183" s="146" t="str">
        <f t="shared" si="14"/>
        <v>??</v>
      </c>
      <c r="Y183" s="146" t="str">
        <f t="shared" si="14"/>
        <v>??</v>
      </c>
      <c r="Z183" s="146" t="str">
        <f t="shared" si="14"/>
        <v>??</v>
      </c>
      <c r="AA183" s="146" t="str">
        <f t="shared" si="14"/>
        <v>??</v>
      </c>
      <c r="AB183" s="146" t="str">
        <f t="shared" si="14"/>
        <v>??</v>
      </c>
      <c r="DP183" s="58"/>
      <c r="DQ183" s="58"/>
    </row>
    <row r="184" spans="1:121" s="52" customFormat="1">
      <c r="A184" s="55"/>
      <c r="B184" s="305"/>
      <c r="C184" s="83"/>
      <c r="D184" s="358"/>
      <c r="E184" s="113"/>
      <c r="F184" s="113"/>
      <c r="G184" s="113"/>
      <c r="H184" s="113"/>
      <c r="I184" s="83"/>
      <c r="J184" s="113"/>
      <c r="K184" s="113"/>
      <c r="L184" s="84"/>
      <c r="M184" s="106"/>
      <c r="N184" s="83"/>
      <c r="O184" s="83"/>
      <c r="P184" s="83"/>
      <c r="Q184" s="83"/>
      <c r="R184" s="83"/>
      <c r="S184" s="83"/>
      <c r="T184" s="83"/>
      <c r="U184" s="83"/>
      <c r="V184" s="83"/>
      <c r="W184" s="83"/>
      <c r="X184" s="83"/>
      <c r="Y184" s="83"/>
      <c r="Z184" s="83"/>
      <c r="AA184" s="83"/>
      <c r="AB184" s="83"/>
      <c r="DP184" s="58"/>
      <c r="DQ184" s="58"/>
    </row>
    <row r="185" spans="1:121" s="52" customFormat="1" ht="17.399999999999999">
      <c r="A185" s="55"/>
      <c r="B185" s="175" t="s">
        <v>159</v>
      </c>
      <c r="C185" s="113"/>
      <c r="D185" s="133"/>
      <c r="E185" s="133"/>
      <c r="F185" s="133"/>
      <c r="G185" s="133"/>
      <c r="H185" s="133"/>
      <c r="I185" s="83"/>
      <c r="J185" s="92"/>
      <c r="K185" s="92"/>
      <c r="L185" s="96"/>
      <c r="M185" s="106"/>
      <c r="N185" s="83"/>
      <c r="O185" s="83"/>
      <c r="P185" s="83"/>
      <c r="Q185" s="83"/>
      <c r="R185" s="83"/>
      <c r="S185" s="83"/>
      <c r="T185" s="83"/>
      <c r="U185" s="83"/>
      <c r="V185" s="83"/>
      <c r="W185" s="83"/>
      <c r="X185" s="83"/>
      <c r="Y185" s="83"/>
      <c r="Z185" s="83"/>
      <c r="AA185" s="83"/>
      <c r="AB185" s="83"/>
    </row>
    <row r="186" spans="1:121" s="52" customFormat="1" ht="40.200000000000003">
      <c r="A186" s="55"/>
      <c r="B186" s="99" t="s">
        <v>174</v>
      </c>
      <c r="C186" s="86" t="s">
        <v>439</v>
      </c>
      <c r="D186" s="358" t="s">
        <v>537</v>
      </c>
      <c r="E186" s="92" t="s">
        <v>8</v>
      </c>
      <c r="F186" s="338" t="s">
        <v>401</v>
      </c>
      <c r="G186" s="101"/>
      <c r="H186" s="105"/>
      <c r="I186" s="146" t="str">
        <f t="shared" ref="I186:AB186" si="15">IF(AND(ISNUMBER(I183),Ksoil_water&gt;0),I183*RHOsoilwet/Ksoil_water,"??")</f>
        <v>??</v>
      </c>
      <c r="J186" s="146" t="str">
        <f t="shared" si="15"/>
        <v>??</v>
      </c>
      <c r="K186" s="146" t="str">
        <f t="shared" si="15"/>
        <v>??</v>
      </c>
      <c r="L186" s="146" t="str">
        <f t="shared" si="15"/>
        <v>??</v>
      </c>
      <c r="M186" s="146" t="str">
        <f t="shared" si="15"/>
        <v>??</v>
      </c>
      <c r="N186" s="146" t="str">
        <f t="shared" si="15"/>
        <v>??</v>
      </c>
      <c r="O186" s="146" t="str">
        <f t="shared" si="15"/>
        <v>??</v>
      </c>
      <c r="P186" s="146" t="str">
        <f t="shared" si="15"/>
        <v>??</v>
      </c>
      <c r="Q186" s="146" t="str">
        <f t="shared" si="15"/>
        <v>??</v>
      </c>
      <c r="R186" s="146" t="str">
        <f t="shared" si="15"/>
        <v>??</v>
      </c>
      <c r="S186" s="146" t="str">
        <f t="shared" si="15"/>
        <v>??</v>
      </c>
      <c r="T186" s="146" t="str">
        <f t="shared" si="15"/>
        <v>??</v>
      </c>
      <c r="U186" s="146" t="str">
        <f t="shared" si="15"/>
        <v>??</v>
      </c>
      <c r="V186" s="146" t="str">
        <f t="shared" si="15"/>
        <v>??</v>
      </c>
      <c r="W186" s="146" t="str">
        <f t="shared" si="15"/>
        <v>??</v>
      </c>
      <c r="X186" s="146" t="str">
        <f t="shared" si="15"/>
        <v>??</v>
      </c>
      <c r="Y186" s="146" t="str">
        <f t="shared" si="15"/>
        <v>??</v>
      </c>
      <c r="Z186" s="146" t="str">
        <f t="shared" si="15"/>
        <v>??</v>
      </c>
      <c r="AA186" s="146" t="str">
        <f t="shared" si="15"/>
        <v>??</v>
      </c>
      <c r="AB186" s="146" t="str">
        <f t="shared" si="15"/>
        <v>??</v>
      </c>
    </row>
    <row r="187" spans="1:121" s="52" customFormat="1" ht="5.0999999999999996" customHeight="1">
      <c r="A187" s="55"/>
      <c r="B187" s="96"/>
      <c r="C187" s="86"/>
      <c r="D187" s="358"/>
      <c r="E187" s="92"/>
      <c r="F187" s="101"/>
      <c r="G187" s="101"/>
      <c r="H187" s="105"/>
      <c r="I187" s="117"/>
      <c r="J187" s="117"/>
      <c r="K187" s="117"/>
      <c r="L187" s="117"/>
      <c r="M187" s="118"/>
      <c r="N187" s="117"/>
      <c r="O187" s="117"/>
      <c r="P187" s="117"/>
      <c r="Q187" s="117"/>
      <c r="R187" s="117"/>
      <c r="S187" s="117"/>
      <c r="T187" s="117"/>
      <c r="U187" s="117"/>
      <c r="V187" s="117"/>
      <c r="W187" s="117"/>
      <c r="X187" s="117"/>
      <c r="Y187" s="117"/>
      <c r="Z187" s="117"/>
      <c r="AA187" s="117"/>
      <c r="AB187" s="117"/>
    </row>
    <row r="188" spans="1:121" s="52" customFormat="1" ht="27.6">
      <c r="A188" s="55"/>
      <c r="B188" s="99" t="s">
        <v>176</v>
      </c>
      <c r="C188" s="86" t="s">
        <v>440</v>
      </c>
      <c r="D188" s="361" t="s">
        <v>545</v>
      </c>
      <c r="E188" s="174" t="s">
        <v>8</v>
      </c>
      <c r="F188" s="101" t="s">
        <v>456</v>
      </c>
      <c r="G188" s="101"/>
      <c r="H188" s="105"/>
      <c r="I188" s="146" t="str">
        <f t="shared" ref="I188:AB188" si="16">IF(AND(ISNUMBER(I181),ISNUMBER(Ksoil_water)),I181*RHOsoilwet/(Ksoil_water*DILUTION*1000),"??")</f>
        <v>??</v>
      </c>
      <c r="J188" s="146" t="str">
        <f t="shared" si="16"/>
        <v>??</v>
      </c>
      <c r="K188" s="146" t="str">
        <f t="shared" si="16"/>
        <v>??</v>
      </c>
      <c r="L188" s="146" t="str">
        <f t="shared" si="16"/>
        <v>??</v>
      </c>
      <c r="M188" s="146" t="str">
        <f t="shared" si="16"/>
        <v>??</v>
      </c>
      <c r="N188" s="146" t="str">
        <f t="shared" si="16"/>
        <v>??</v>
      </c>
      <c r="O188" s="146" t="str">
        <f t="shared" si="16"/>
        <v>??</v>
      </c>
      <c r="P188" s="146" t="str">
        <f t="shared" si="16"/>
        <v>??</v>
      </c>
      <c r="Q188" s="146" t="str">
        <f t="shared" si="16"/>
        <v>??</v>
      </c>
      <c r="R188" s="146" t="str">
        <f t="shared" si="16"/>
        <v>??</v>
      </c>
      <c r="S188" s="146" t="str">
        <f t="shared" si="16"/>
        <v>??</v>
      </c>
      <c r="T188" s="146" t="str">
        <f t="shared" si="16"/>
        <v>??</v>
      </c>
      <c r="U188" s="146" t="str">
        <f t="shared" si="16"/>
        <v>??</v>
      </c>
      <c r="V188" s="146" t="str">
        <f t="shared" si="16"/>
        <v>??</v>
      </c>
      <c r="W188" s="146" t="str">
        <f t="shared" si="16"/>
        <v>??</v>
      </c>
      <c r="X188" s="146" t="str">
        <f t="shared" si="16"/>
        <v>??</v>
      </c>
      <c r="Y188" s="146" t="str">
        <f t="shared" si="16"/>
        <v>??</v>
      </c>
      <c r="Z188" s="146" t="str">
        <f t="shared" si="16"/>
        <v>??</v>
      </c>
      <c r="AA188" s="146" t="str">
        <f t="shared" si="16"/>
        <v>??</v>
      </c>
      <c r="AB188" s="146" t="str">
        <f t="shared" si="16"/>
        <v>??</v>
      </c>
      <c r="AC188" s="55"/>
    </row>
    <row r="189" spans="1:121" s="52" customFormat="1" ht="3" customHeight="1">
      <c r="A189" s="55"/>
      <c r="B189" s="160"/>
      <c r="C189" s="86"/>
      <c r="D189" s="358"/>
      <c r="E189" s="174"/>
      <c r="F189" s="101"/>
      <c r="G189" s="101"/>
      <c r="H189" s="105"/>
      <c r="I189" s="83"/>
      <c r="J189" s="83"/>
      <c r="K189" s="83"/>
      <c r="L189" s="83"/>
      <c r="M189" s="106"/>
      <c r="N189" s="83"/>
      <c r="O189" s="83"/>
      <c r="P189" s="83"/>
      <c r="Q189" s="83"/>
      <c r="R189" s="83"/>
      <c r="S189" s="83"/>
      <c r="T189" s="83"/>
      <c r="U189" s="83"/>
      <c r="V189" s="83"/>
      <c r="W189" s="83"/>
      <c r="X189" s="83"/>
      <c r="Y189" s="83"/>
      <c r="Z189" s="83"/>
      <c r="AA189" s="83"/>
      <c r="AB189" s="83"/>
      <c r="AC189" s="55"/>
    </row>
    <row r="190" spans="1:121" s="52" customFormat="1" ht="27.6">
      <c r="A190" s="55"/>
      <c r="B190" s="99" t="s">
        <v>161</v>
      </c>
      <c r="C190" s="305" t="s">
        <v>162</v>
      </c>
      <c r="D190" s="305" t="s">
        <v>457</v>
      </c>
      <c r="E190" s="174" t="s">
        <v>8</v>
      </c>
      <c r="F190" s="101" t="s">
        <v>115</v>
      </c>
      <c r="G190" s="101"/>
      <c r="H190" s="105"/>
      <c r="I190" s="146" t="str">
        <f t="shared" ref="I190:AB190" si="17">IF(AND(ISNUMBER(I188),ISNUMBER(Ksusp_water)),+I188*Ksusp_water*1000/RHOsusp,"??")</f>
        <v>??</v>
      </c>
      <c r="J190" s="146" t="str">
        <f t="shared" si="17"/>
        <v>??</v>
      </c>
      <c r="K190" s="146" t="str">
        <f t="shared" si="17"/>
        <v>??</v>
      </c>
      <c r="L190" s="146" t="str">
        <f t="shared" si="17"/>
        <v>??</v>
      </c>
      <c r="M190" s="146" t="str">
        <f t="shared" si="17"/>
        <v>??</v>
      </c>
      <c r="N190" s="146" t="str">
        <f t="shared" si="17"/>
        <v>??</v>
      </c>
      <c r="O190" s="146" t="str">
        <f t="shared" si="17"/>
        <v>??</v>
      </c>
      <c r="P190" s="146" t="str">
        <f t="shared" si="17"/>
        <v>??</v>
      </c>
      <c r="Q190" s="146" t="str">
        <f t="shared" si="17"/>
        <v>??</v>
      </c>
      <c r="R190" s="146" t="str">
        <f t="shared" si="17"/>
        <v>??</v>
      </c>
      <c r="S190" s="146" t="str">
        <f t="shared" si="17"/>
        <v>??</v>
      </c>
      <c r="T190" s="146" t="str">
        <f t="shared" si="17"/>
        <v>??</v>
      </c>
      <c r="U190" s="146" t="str">
        <f t="shared" si="17"/>
        <v>??</v>
      </c>
      <c r="V190" s="146" t="str">
        <f t="shared" si="17"/>
        <v>??</v>
      </c>
      <c r="W190" s="146" t="str">
        <f t="shared" si="17"/>
        <v>??</v>
      </c>
      <c r="X190" s="146" t="str">
        <f t="shared" si="17"/>
        <v>??</v>
      </c>
      <c r="Y190" s="146" t="str">
        <f t="shared" si="17"/>
        <v>??</v>
      </c>
      <c r="Z190" s="146" t="str">
        <f t="shared" si="17"/>
        <v>??</v>
      </c>
      <c r="AA190" s="146" t="str">
        <f t="shared" si="17"/>
        <v>??</v>
      </c>
      <c r="AB190" s="146" t="str">
        <f t="shared" si="17"/>
        <v>??</v>
      </c>
      <c r="AC190" s="55"/>
    </row>
    <row r="191" spans="1:121" s="52" customFormat="1">
      <c r="A191" s="55"/>
      <c r="B191" s="160"/>
      <c r="C191" s="99"/>
      <c r="D191" s="99"/>
      <c r="E191" s="174"/>
      <c r="F191" s="101"/>
      <c r="G191" s="101"/>
      <c r="H191" s="105"/>
      <c r="I191" s="83"/>
      <c r="J191" s="83"/>
      <c r="K191" s="83"/>
      <c r="L191" s="83"/>
      <c r="M191" s="106"/>
      <c r="N191" s="83"/>
      <c r="O191" s="83"/>
      <c r="P191" s="83"/>
      <c r="Q191" s="83"/>
      <c r="R191" s="83"/>
      <c r="S191" s="83"/>
      <c r="T191" s="83"/>
      <c r="U191" s="83"/>
      <c r="V191" s="83"/>
      <c r="W191" s="83"/>
      <c r="X191" s="83"/>
      <c r="Y191" s="83"/>
      <c r="Z191" s="83"/>
      <c r="AA191" s="83"/>
      <c r="AB191" s="83"/>
      <c r="AC191" s="55"/>
    </row>
    <row r="192" spans="1:121" s="52" customFormat="1" ht="17.399999999999999">
      <c r="A192" s="55"/>
      <c r="B192" s="133" t="s">
        <v>51</v>
      </c>
      <c r="C192" s="133"/>
      <c r="D192" s="133"/>
      <c r="E192" s="133"/>
      <c r="F192" s="86"/>
      <c r="G192" s="86"/>
      <c r="H192" s="86"/>
      <c r="I192" s="83"/>
      <c r="J192" s="92"/>
      <c r="K192" s="92"/>
      <c r="L192" s="83"/>
      <c r="M192" s="106"/>
      <c r="N192" s="83"/>
      <c r="O192" s="83"/>
      <c r="P192" s="83"/>
      <c r="Q192" s="83"/>
      <c r="R192" s="83"/>
      <c r="S192" s="83"/>
      <c r="T192" s="83"/>
      <c r="U192" s="83"/>
      <c r="V192" s="83"/>
      <c r="W192" s="83"/>
      <c r="X192" s="83"/>
      <c r="Y192" s="83"/>
      <c r="Z192" s="83"/>
      <c r="AA192" s="83"/>
      <c r="AB192" s="83"/>
    </row>
    <row r="193" spans="1:28" s="52" customFormat="1" ht="25.2">
      <c r="A193" s="55"/>
      <c r="B193" s="93" t="s">
        <v>355</v>
      </c>
      <c r="C193" s="93" t="s">
        <v>105</v>
      </c>
      <c r="D193" s="96" t="s">
        <v>345</v>
      </c>
      <c r="E193" s="92" t="s">
        <v>8</v>
      </c>
      <c r="F193" s="92" t="s">
        <v>261</v>
      </c>
      <c r="G193" s="92"/>
      <c r="H193" s="92"/>
      <c r="I193" s="146" t="str">
        <f>IF(AND(ISNUMBER(Fwastewater),ISNUMBER(Qai_prescr)),Fwastewater* Qai_prescr*Ntub_filling,"??")</f>
        <v>??</v>
      </c>
      <c r="J193" s="146" t="str">
        <f>IF(AND(ISNUMBER(Fwastewater),ISNUMBER(Qai_prescr)),Fwastewater* Qai_prescr*Ntub_filling,"??")</f>
        <v>??</v>
      </c>
      <c r="K193" s="146" t="str">
        <f t="shared" ref="K193:AB193" si="18">IF(AND(ISNUMBER(Fwastewater),ISNUMBER(Qai_prescr)),Fwastewater* Qai_prescr,"??")</f>
        <v>??</v>
      </c>
      <c r="L193" s="146" t="str">
        <f t="shared" si="18"/>
        <v>??</v>
      </c>
      <c r="M193" s="146" t="str">
        <f t="shared" si="18"/>
        <v>??</v>
      </c>
      <c r="N193" s="146" t="str">
        <f t="shared" si="18"/>
        <v>??</v>
      </c>
      <c r="O193" s="146" t="str">
        <f t="shared" si="18"/>
        <v>??</v>
      </c>
      <c r="P193" s="146" t="str">
        <f t="shared" si="18"/>
        <v>??</v>
      </c>
      <c r="Q193" s="146" t="str">
        <f t="shared" si="18"/>
        <v>??</v>
      </c>
      <c r="R193" s="146" t="str">
        <f t="shared" si="18"/>
        <v>??</v>
      </c>
      <c r="S193" s="146" t="str">
        <f t="shared" si="18"/>
        <v>??</v>
      </c>
      <c r="T193" s="146" t="str">
        <f t="shared" si="18"/>
        <v>??</v>
      </c>
      <c r="U193" s="146" t="str">
        <f t="shared" si="18"/>
        <v>??</v>
      </c>
      <c r="V193" s="146" t="str">
        <f t="shared" si="18"/>
        <v>??</v>
      </c>
      <c r="W193" s="146" t="str">
        <f t="shared" si="18"/>
        <v>??</v>
      </c>
      <c r="X193" s="146" t="str">
        <f t="shared" si="18"/>
        <v>??</v>
      </c>
      <c r="Y193" s="146" t="str">
        <f t="shared" si="18"/>
        <v>??</v>
      </c>
      <c r="Z193" s="146" t="str">
        <f t="shared" si="18"/>
        <v>??</v>
      </c>
      <c r="AA193" s="146" t="str">
        <f t="shared" si="18"/>
        <v>??</v>
      </c>
      <c r="AB193" s="146" t="str">
        <f t="shared" si="18"/>
        <v>??</v>
      </c>
    </row>
    <row r="194" spans="1:28" s="55" customFormat="1" ht="12" customHeight="1">
      <c r="B194" s="96"/>
      <c r="C194" s="83"/>
      <c r="D194" s="84"/>
      <c r="E194" s="83"/>
      <c r="F194" s="83"/>
      <c r="G194" s="83"/>
      <c r="H194" s="83"/>
      <c r="I194" s="83"/>
      <c r="J194" s="138"/>
      <c r="K194" s="106"/>
      <c r="L194" s="83"/>
      <c r="M194" s="106"/>
      <c r="N194" s="83"/>
      <c r="O194" s="83"/>
      <c r="P194" s="83"/>
      <c r="Q194" s="83"/>
      <c r="R194" s="83"/>
      <c r="S194" s="83"/>
      <c r="T194" s="83"/>
      <c r="U194" s="83"/>
      <c r="V194" s="83"/>
      <c r="W194" s="83"/>
      <c r="X194" s="83"/>
      <c r="Y194" s="83"/>
      <c r="Z194" s="83"/>
      <c r="AA194" s="83"/>
      <c r="AB194" s="83"/>
    </row>
    <row r="195" spans="1:28" s="55" customFormat="1">
      <c r="B195" s="96"/>
      <c r="C195" s="91"/>
      <c r="D195" s="139"/>
      <c r="E195" s="83"/>
      <c r="F195" s="83"/>
      <c r="G195" s="83"/>
      <c r="H195" s="83"/>
      <c r="I195" s="83"/>
      <c r="J195" s="106"/>
      <c r="K195" s="106"/>
      <c r="L195" s="83"/>
      <c r="M195" s="106"/>
      <c r="N195" s="83"/>
      <c r="O195" s="83"/>
      <c r="P195" s="83"/>
      <c r="Q195" s="83"/>
      <c r="R195" s="83"/>
      <c r="S195" s="83"/>
      <c r="T195" s="83"/>
      <c r="U195" s="83"/>
      <c r="V195" s="83"/>
      <c r="W195" s="83"/>
      <c r="X195" s="83"/>
      <c r="Y195" s="83"/>
      <c r="Z195" s="83"/>
      <c r="AA195" s="83"/>
      <c r="AB195" s="83"/>
    </row>
    <row r="196" spans="1:28" s="52" customFormat="1">
      <c r="A196" s="55"/>
      <c r="B196" s="493" t="s">
        <v>12</v>
      </c>
      <c r="C196" s="493"/>
      <c r="D196" s="493"/>
      <c r="E196" s="493"/>
      <c r="F196" s="493"/>
      <c r="G196" s="493"/>
      <c r="H196" s="493"/>
      <c r="I196" s="493"/>
      <c r="J196" s="493"/>
      <c r="K196" s="493"/>
      <c r="L196" s="493"/>
      <c r="M196" s="54"/>
    </row>
    <row r="197" spans="1:28" s="52" customFormat="1">
      <c r="B197" s="493"/>
      <c r="C197" s="493"/>
      <c r="D197" s="493"/>
      <c r="E197" s="493"/>
      <c r="F197" s="493"/>
      <c r="G197" s="493"/>
      <c r="H197" s="493"/>
      <c r="I197" s="493"/>
      <c r="J197" s="493"/>
      <c r="K197" s="493"/>
      <c r="L197" s="493"/>
      <c r="M197" s="54"/>
    </row>
    <row r="198" spans="1:28" s="52" customFormat="1">
      <c r="B198" s="493"/>
      <c r="C198" s="493"/>
      <c r="D198" s="493"/>
      <c r="E198" s="493"/>
      <c r="F198" s="493"/>
      <c r="G198" s="493"/>
      <c r="H198" s="493"/>
      <c r="I198" s="493"/>
      <c r="J198" s="493"/>
      <c r="K198" s="493"/>
      <c r="L198" s="493"/>
      <c r="M198" s="54"/>
    </row>
    <row r="199" spans="1:28" s="52" customFormat="1">
      <c r="L199" s="53"/>
      <c r="M199" s="54"/>
    </row>
    <row r="200" spans="1:28" s="52" customFormat="1">
      <c r="L200" s="53"/>
      <c r="M200" s="54"/>
    </row>
    <row r="201" spans="1:28" s="52" customFormat="1">
      <c r="L201" s="53"/>
      <c r="M201" s="54"/>
    </row>
    <row r="202" spans="1:28" s="52" customFormat="1">
      <c r="L202" s="53"/>
      <c r="M202" s="54"/>
    </row>
    <row r="203" spans="1:28" s="52" customFormat="1">
      <c r="L203" s="53"/>
      <c r="M203" s="54"/>
    </row>
    <row r="204" spans="1:28" s="52" customFormat="1">
      <c r="L204" s="53"/>
      <c r="M204" s="54"/>
    </row>
    <row r="205" spans="1:28" s="52" customFormat="1">
      <c r="L205" s="53"/>
      <c r="M205" s="54"/>
    </row>
    <row r="206" spans="1:28" s="52" customFormat="1">
      <c r="L206" s="53"/>
      <c r="M206" s="54"/>
    </row>
    <row r="207" spans="1:28" s="52" customFormat="1">
      <c r="L207" s="53"/>
      <c r="M207" s="54"/>
    </row>
    <row r="208" spans="1:28" s="52" customFormat="1">
      <c r="L208" s="53"/>
      <c r="M208" s="54"/>
    </row>
    <row r="209" spans="12:13" s="52" customFormat="1">
      <c r="L209" s="53"/>
      <c r="M209" s="54"/>
    </row>
    <row r="210" spans="12:13" s="52" customFormat="1">
      <c r="L210" s="53"/>
      <c r="M210" s="54"/>
    </row>
    <row r="211" spans="12:13" s="52" customFormat="1">
      <c r="L211" s="53"/>
      <c r="M211" s="54"/>
    </row>
    <row r="212" spans="12:13" s="52" customFormat="1">
      <c r="L212" s="53"/>
      <c r="M212" s="54"/>
    </row>
    <row r="213" spans="12:13" s="52" customFormat="1">
      <c r="L213" s="53"/>
      <c r="M213" s="54"/>
    </row>
    <row r="214" spans="12:13" s="52" customFormat="1">
      <c r="L214" s="53"/>
      <c r="M214" s="54"/>
    </row>
    <row r="215" spans="12:13" s="52" customFormat="1">
      <c r="L215" s="53"/>
      <c r="M215" s="54"/>
    </row>
    <row r="216" spans="12:13" s="52" customFormat="1">
      <c r="L216" s="53"/>
      <c r="M216" s="54"/>
    </row>
    <row r="217" spans="12:13" s="52" customFormat="1">
      <c r="L217" s="53"/>
      <c r="M217" s="54"/>
    </row>
    <row r="218" spans="12:13" s="52" customFormat="1">
      <c r="L218" s="53"/>
      <c r="M218" s="54"/>
    </row>
    <row r="219" spans="12:13" s="52" customFormat="1">
      <c r="L219" s="53"/>
      <c r="M219" s="54"/>
    </row>
    <row r="220" spans="12:13" s="52" customFormat="1">
      <c r="L220" s="53"/>
      <c r="M220" s="54"/>
    </row>
    <row r="221" spans="12:13" s="52" customFormat="1">
      <c r="L221" s="53"/>
      <c r="M221" s="54"/>
    </row>
    <row r="222" spans="12:13" s="52" customFormat="1">
      <c r="L222" s="53"/>
      <c r="M222" s="54"/>
    </row>
    <row r="223" spans="12:13" s="52" customFormat="1">
      <c r="L223" s="53"/>
      <c r="M223" s="54"/>
    </row>
    <row r="224" spans="12:13" s="52" customFormat="1">
      <c r="L224" s="53"/>
      <c r="M224" s="54"/>
    </row>
    <row r="225" spans="12:13" s="52" customFormat="1">
      <c r="L225" s="53"/>
      <c r="M225" s="54"/>
    </row>
    <row r="226" spans="12:13" s="52" customFormat="1">
      <c r="L226" s="53"/>
      <c r="M226" s="54"/>
    </row>
    <row r="227" spans="12:13" s="52" customFormat="1">
      <c r="L227" s="53"/>
      <c r="M227" s="54"/>
    </row>
    <row r="228" spans="12:13" s="52" customFormat="1">
      <c r="L228" s="53"/>
      <c r="M228" s="54"/>
    </row>
    <row r="229" spans="12:13" s="52" customFormat="1">
      <c r="L229" s="53"/>
      <c r="M229" s="54"/>
    </row>
    <row r="230" spans="12:13" s="52" customFormat="1">
      <c r="L230" s="53"/>
      <c r="M230" s="54"/>
    </row>
    <row r="231" spans="12:13" s="52" customFormat="1">
      <c r="L231" s="53"/>
      <c r="M231" s="54"/>
    </row>
    <row r="232" spans="12:13" s="52" customFormat="1">
      <c r="L232" s="53"/>
      <c r="M232" s="54"/>
    </row>
    <row r="233" spans="12:13" s="52" customFormat="1">
      <c r="L233" s="53"/>
      <c r="M233" s="54"/>
    </row>
    <row r="234" spans="12:13" s="52" customFormat="1">
      <c r="L234" s="53"/>
      <c r="M234" s="54"/>
    </row>
    <row r="235" spans="12:13" s="52" customFormat="1">
      <c r="L235" s="53"/>
      <c r="M235" s="54"/>
    </row>
    <row r="236" spans="12:13" s="52" customFormat="1">
      <c r="L236" s="53"/>
      <c r="M236" s="54"/>
    </row>
    <row r="237" spans="12:13" s="52" customFormat="1">
      <c r="L237" s="53"/>
      <c r="M237" s="54"/>
    </row>
    <row r="238" spans="12:13" s="52" customFormat="1">
      <c r="L238" s="53"/>
      <c r="M238" s="54"/>
    </row>
    <row r="239" spans="12:13" s="52" customFormat="1">
      <c r="L239" s="53"/>
      <c r="M239" s="54"/>
    </row>
    <row r="240" spans="12:13" s="52" customFormat="1">
      <c r="L240" s="53"/>
      <c r="M240" s="54"/>
    </row>
    <row r="241" spans="12:13" s="52" customFormat="1">
      <c r="L241" s="53"/>
      <c r="M241" s="54"/>
    </row>
    <row r="242" spans="12:13" s="52" customFormat="1">
      <c r="L242" s="53"/>
      <c r="M242" s="54"/>
    </row>
    <row r="243" spans="12:13" s="52" customFormat="1">
      <c r="L243" s="53"/>
      <c r="M243" s="54"/>
    </row>
    <row r="244" spans="12:13" s="52" customFormat="1">
      <c r="L244" s="53"/>
      <c r="M244" s="54"/>
    </row>
    <row r="245" spans="12:13" s="52" customFormat="1">
      <c r="L245" s="53"/>
      <c r="M245" s="54"/>
    </row>
    <row r="246" spans="12:13" s="52" customFormat="1">
      <c r="L246" s="53"/>
      <c r="M246" s="54"/>
    </row>
    <row r="247" spans="12:13" s="52" customFormat="1">
      <c r="L247" s="53"/>
      <c r="M247" s="54"/>
    </row>
    <row r="248" spans="12:13" s="52" customFormat="1">
      <c r="L248" s="53"/>
      <c r="M248" s="54"/>
    </row>
    <row r="249" spans="12:13" s="52" customFormat="1">
      <c r="L249" s="53"/>
      <c r="M249" s="54"/>
    </row>
    <row r="250" spans="12:13" s="52" customFormat="1">
      <c r="L250" s="53"/>
      <c r="M250" s="54"/>
    </row>
    <row r="251" spans="12:13" s="52" customFormat="1">
      <c r="L251" s="53"/>
      <c r="M251" s="54"/>
    </row>
    <row r="252" spans="12:13" s="52" customFormat="1">
      <c r="L252" s="53"/>
      <c r="M252" s="54"/>
    </row>
    <row r="253" spans="12:13" s="52" customFormat="1">
      <c r="L253" s="53"/>
      <c r="M253" s="54"/>
    </row>
    <row r="254" spans="12:13" s="52" customFormat="1">
      <c r="L254" s="53"/>
      <c r="M254" s="54"/>
    </row>
    <row r="255" spans="12:13" s="52" customFormat="1">
      <c r="L255" s="53"/>
      <c r="M255" s="54"/>
    </row>
    <row r="256" spans="12:13" s="52" customFormat="1">
      <c r="L256" s="53"/>
      <c r="M256" s="54"/>
    </row>
    <row r="257" spans="12:13" s="52" customFormat="1">
      <c r="L257" s="53"/>
      <c r="M257" s="54"/>
    </row>
    <row r="258" spans="12:13" s="52" customFormat="1">
      <c r="L258" s="53"/>
      <c r="M258" s="54"/>
    </row>
    <row r="259" spans="12:13" s="52" customFormat="1">
      <c r="L259" s="53"/>
      <c r="M259" s="54"/>
    </row>
    <row r="260" spans="12:13" s="52" customFormat="1">
      <c r="L260" s="53"/>
      <c r="M260" s="54"/>
    </row>
    <row r="261" spans="12:13" s="52" customFormat="1">
      <c r="L261" s="53"/>
      <c r="M261" s="54"/>
    </row>
    <row r="262" spans="12:13" s="52" customFormat="1">
      <c r="L262" s="53"/>
      <c r="M262" s="54"/>
    </row>
    <row r="263" spans="12:13" s="52" customFormat="1">
      <c r="L263" s="53"/>
      <c r="M263" s="54"/>
    </row>
    <row r="264" spans="12:13" s="52" customFormat="1">
      <c r="L264" s="53"/>
      <c r="M264" s="54"/>
    </row>
    <row r="265" spans="12:13" s="52" customFormat="1">
      <c r="L265" s="53"/>
      <c r="M265" s="54"/>
    </row>
    <row r="266" spans="12:13" s="52" customFormat="1">
      <c r="L266" s="53"/>
      <c r="M266" s="54"/>
    </row>
    <row r="267" spans="12:13" s="52" customFormat="1">
      <c r="L267" s="53"/>
      <c r="M267" s="54"/>
    </row>
    <row r="268" spans="12:13" s="52" customFormat="1">
      <c r="L268" s="53"/>
      <c r="M268" s="54"/>
    </row>
    <row r="269" spans="12:13" s="52" customFormat="1">
      <c r="L269" s="53"/>
      <c r="M269" s="54"/>
    </row>
    <row r="270" spans="12:13" s="52" customFormat="1">
      <c r="L270" s="53"/>
      <c r="M270" s="54"/>
    </row>
    <row r="271" spans="12:13" s="52" customFormat="1">
      <c r="L271" s="53"/>
      <c r="M271" s="54"/>
    </row>
    <row r="272" spans="12:13" s="52" customFormat="1">
      <c r="L272" s="53"/>
      <c r="M272" s="54"/>
    </row>
    <row r="273" spans="12:13" s="52" customFormat="1">
      <c r="L273" s="53"/>
      <c r="M273" s="54"/>
    </row>
    <row r="274" spans="12:13" s="52" customFormat="1">
      <c r="L274" s="53"/>
      <c r="M274" s="54"/>
    </row>
    <row r="275" spans="12:13" s="52" customFormat="1">
      <c r="L275" s="53"/>
      <c r="M275" s="54"/>
    </row>
    <row r="276" spans="12:13" s="52" customFormat="1">
      <c r="L276" s="53"/>
      <c r="M276" s="54"/>
    </row>
    <row r="277" spans="12:13" s="52" customFormat="1">
      <c r="L277" s="53"/>
      <c r="M277" s="54"/>
    </row>
    <row r="278" spans="12:13" s="52" customFormat="1">
      <c r="L278" s="53"/>
      <c r="M278" s="54"/>
    </row>
    <row r="279" spans="12:13" s="52" customFormat="1">
      <c r="L279" s="53"/>
      <c r="M279" s="54"/>
    </row>
    <row r="280" spans="12:13" s="52" customFormat="1">
      <c r="L280" s="53"/>
      <c r="M280" s="54"/>
    </row>
    <row r="281" spans="12:13" s="52" customFormat="1">
      <c r="L281" s="53"/>
      <c r="M281" s="54"/>
    </row>
    <row r="282" spans="12:13" s="52" customFormat="1">
      <c r="L282" s="53"/>
      <c r="M282" s="54"/>
    </row>
    <row r="283" spans="12:13" s="52" customFormat="1">
      <c r="L283" s="53"/>
      <c r="M283" s="54"/>
    </row>
    <row r="284" spans="12:13" s="52" customFormat="1">
      <c r="L284" s="53"/>
      <c r="M284" s="54"/>
    </row>
    <row r="285" spans="12:13" s="52" customFormat="1">
      <c r="L285" s="53"/>
      <c r="M285" s="54"/>
    </row>
    <row r="286" spans="12:13" s="52" customFormat="1">
      <c r="L286" s="53"/>
      <c r="M286" s="54"/>
    </row>
    <row r="287" spans="12:13" s="52" customFormat="1">
      <c r="L287" s="53"/>
      <c r="M287" s="54"/>
    </row>
    <row r="288" spans="12:13" s="52" customFormat="1">
      <c r="L288" s="53"/>
      <c r="M288" s="54"/>
    </row>
    <row r="289" spans="12:13" s="52" customFormat="1">
      <c r="L289" s="53"/>
      <c r="M289" s="54"/>
    </row>
    <row r="290" spans="12:13" s="52" customFormat="1">
      <c r="L290" s="53"/>
      <c r="M290" s="54"/>
    </row>
    <row r="291" spans="12:13" s="52" customFormat="1">
      <c r="L291" s="53"/>
      <c r="M291" s="54"/>
    </row>
    <row r="292" spans="12:13" s="52" customFormat="1">
      <c r="L292" s="53"/>
      <c r="M292" s="54"/>
    </row>
    <row r="293" spans="12:13" s="52" customFormat="1">
      <c r="L293" s="53"/>
      <c r="M293" s="54"/>
    </row>
    <row r="294" spans="12:13" s="52" customFormat="1">
      <c r="L294" s="53"/>
      <c r="M294" s="54"/>
    </row>
    <row r="295" spans="12:13" s="52" customFormat="1">
      <c r="L295" s="53"/>
      <c r="M295" s="54"/>
    </row>
    <row r="296" spans="12:13" s="52" customFormat="1">
      <c r="L296" s="53"/>
      <c r="M296" s="54"/>
    </row>
    <row r="297" spans="12:13" s="52" customFormat="1">
      <c r="L297" s="53"/>
      <c r="M297" s="54"/>
    </row>
    <row r="298" spans="12:13" s="52" customFormat="1">
      <c r="L298" s="53"/>
      <c r="M298" s="54"/>
    </row>
    <row r="299" spans="12:13" s="52" customFormat="1">
      <c r="L299" s="53"/>
      <c r="M299" s="54"/>
    </row>
    <row r="300" spans="12:13" s="52" customFormat="1">
      <c r="L300" s="53"/>
      <c r="M300" s="54"/>
    </row>
    <row r="301" spans="12:13" s="52" customFormat="1">
      <c r="L301" s="53"/>
      <c r="M301" s="54"/>
    </row>
    <row r="302" spans="12:13" s="52" customFormat="1">
      <c r="L302" s="53"/>
      <c r="M302" s="54"/>
    </row>
    <row r="303" spans="12:13" s="52" customFormat="1">
      <c r="L303" s="53"/>
      <c r="M303" s="54"/>
    </row>
    <row r="304" spans="12:13" s="52" customFormat="1">
      <c r="L304" s="53"/>
      <c r="M304" s="54"/>
    </row>
    <row r="305" spans="12:13" s="52" customFormat="1">
      <c r="L305" s="53"/>
      <c r="M305" s="54"/>
    </row>
    <row r="306" spans="12:13" s="52" customFormat="1">
      <c r="L306" s="53"/>
      <c r="M306" s="54"/>
    </row>
    <row r="307" spans="12:13" s="52" customFormat="1">
      <c r="L307" s="53"/>
      <c r="M307" s="54"/>
    </row>
    <row r="308" spans="12:13" s="52" customFormat="1">
      <c r="L308" s="53"/>
      <c r="M308" s="54"/>
    </row>
    <row r="309" spans="12:13" s="52" customFormat="1">
      <c r="L309" s="53"/>
      <c r="M309" s="54"/>
    </row>
    <row r="310" spans="12:13" s="52" customFormat="1">
      <c r="L310" s="53"/>
      <c r="M310" s="54"/>
    </row>
    <row r="311" spans="12:13" s="52" customFormat="1">
      <c r="L311" s="53"/>
      <c r="M311" s="54"/>
    </row>
    <row r="312" spans="12:13" s="52" customFormat="1">
      <c r="L312" s="53"/>
      <c r="M312" s="54"/>
    </row>
    <row r="313" spans="12:13" s="52" customFormat="1">
      <c r="L313" s="53"/>
      <c r="M313" s="54"/>
    </row>
    <row r="314" spans="12:13" s="52" customFormat="1">
      <c r="L314" s="53"/>
      <c r="M314" s="54"/>
    </row>
    <row r="315" spans="12:13" s="52" customFormat="1">
      <c r="L315" s="53"/>
      <c r="M315" s="54"/>
    </row>
    <row r="316" spans="12:13" s="52" customFormat="1">
      <c r="L316" s="53"/>
      <c r="M316" s="54"/>
    </row>
    <row r="317" spans="12:13" s="52" customFormat="1">
      <c r="L317" s="53"/>
      <c r="M317" s="54"/>
    </row>
    <row r="318" spans="12:13" s="52" customFormat="1">
      <c r="L318" s="53"/>
      <c r="M318" s="54"/>
    </row>
    <row r="319" spans="12:13" s="52" customFormat="1">
      <c r="L319" s="53"/>
      <c r="M319" s="54"/>
    </row>
    <row r="320" spans="12:13" s="52" customFormat="1">
      <c r="L320" s="53"/>
      <c r="M320" s="54"/>
    </row>
    <row r="321" spans="12:13" s="52" customFormat="1">
      <c r="L321" s="53"/>
      <c r="M321" s="54"/>
    </row>
    <row r="322" spans="12:13" s="52" customFormat="1">
      <c r="L322" s="53"/>
      <c r="M322" s="54"/>
    </row>
    <row r="323" spans="12:13" s="52" customFormat="1">
      <c r="L323" s="53"/>
      <c r="M323" s="54"/>
    </row>
    <row r="324" spans="12:13" s="52" customFormat="1">
      <c r="L324" s="53"/>
      <c r="M324" s="54"/>
    </row>
    <row r="325" spans="12:13" s="52" customFormat="1">
      <c r="L325" s="53"/>
      <c r="M325" s="54"/>
    </row>
    <row r="326" spans="12:13" s="52" customFormat="1">
      <c r="L326" s="53"/>
      <c r="M326" s="54"/>
    </row>
    <row r="327" spans="12:13" s="52" customFormat="1">
      <c r="L327" s="53"/>
      <c r="M327" s="54"/>
    </row>
    <row r="328" spans="12:13" s="52" customFormat="1">
      <c r="L328" s="53"/>
      <c r="M328" s="54"/>
    </row>
    <row r="329" spans="12:13" s="52" customFormat="1">
      <c r="L329" s="53"/>
      <c r="M329" s="54"/>
    </row>
    <row r="330" spans="12:13" s="52" customFormat="1">
      <c r="L330" s="53"/>
      <c r="M330" s="54"/>
    </row>
    <row r="331" spans="12:13" s="52" customFormat="1">
      <c r="L331" s="53"/>
      <c r="M331" s="54"/>
    </row>
    <row r="332" spans="12:13" s="52" customFormat="1">
      <c r="L332" s="53"/>
      <c r="M332" s="54"/>
    </row>
    <row r="333" spans="12:13" s="52" customFormat="1">
      <c r="L333" s="53"/>
      <c r="M333" s="54"/>
    </row>
    <row r="334" spans="12:13" s="52" customFormat="1">
      <c r="L334" s="53"/>
      <c r="M334" s="54"/>
    </row>
    <row r="335" spans="12:13" s="52" customFormat="1">
      <c r="L335" s="53"/>
      <c r="M335" s="54"/>
    </row>
    <row r="336" spans="12:13" s="52" customFormat="1">
      <c r="L336" s="53"/>
      <c r="M336" s="54"/>
    </row>
    <row r="337" spans="12:13" s="52" customFormat="1">
      <c r="L337" s="53"/>
      <c r="M337" s="54"/>
    </row>
    <row r="338" spans="12:13" s="52" customFormat="1">
      <c r="L338" s="53"/>
      <c r="M338" s="54"/>
    </row>
    <row r="339" spans="12:13" s="52" customFormat="1">
      <c r="L339" s="53"/>
      <c r="M339" s="54"/>
    </row>
    <row r="340" spans="12:13" s="52" customFormat="1">
      <c r="L340" s="53"/>
      <c r="M340" s="54"/>
    </row>
    <row r="341" spans="12:13" s="52" customFormat="1">
      <c r="L341" s="53"/>
      <c r="M341" s="54"/>
    </row>
    <row r="342" spans="12:13" s="52" customFormat="1">
      <c r="L342" s="53"/>
      <c r="M342" s="54"/>
    </row>
    <row r="343" spans="12:13" s="52" customFormat="1">
      <c r="L343" s="53"/>
      <c r="M343" s="54"/>
    </row>
    <row r="344" spans="12:13" s="52" customFormat="1">
      <c r="L344" s="53"/>
      <c r="M344" s="54"/>
    </row>
    <row r="345" spans="12:13" s="52" customFormat="1">
      <c r="L345" s="53"/>
      <c r="M345" s="54"/>
    </row>
    <row r="346" spans="12:13" s="52" customFormat="1">
      <c r="L346" s="53"/>
      <c r="M346" s="54"/>
    </row>
    <row r="347" spans="12:13" s="52" customFormat="1">
      <c r="L347" s="53"/>
      <c r="M347" s="54"/>
    </row>
    <row r="348" spans="12:13" s="52" customFormat="1">
      <c r="L348" s="53"/>
      <c r="M348" s="54"/>
    </row>
    <row r="349" spans="12:13" s="52" customFormat="1">
      <c r="L349" s="53"/>
      <c r="M349" s="54"/>
    </row>
    <row r="350" spans="12:13" s="52" customFormat="1">
      <c r="L350" s="53"/>
      <c r="M350" s="54"/>
    </row>
    <row r="351" spans="12:13" s="52" customFormat="1">
      <c r="L351" s="53"/>
      <c r="M351" s="54"/>
    </row>
    <row r="352" spans="12:13" s="52" customFormat="1">
      <c r="L352" s="53"/>
      <c r="M352" s="54"/>
    </row>
    <row r="353" spans="12:13" s="52" customFormat="1">
      <c r="L353" s="53"/>
      <c r="M353" s="54"/>
    </row>
    <row r="354" spans="12:13" s="52" customFormat="1">
      <c r="L354" s="53"/>
      <c r="M354" s="54"/>
    </row>
    <row r="355" spans="12:13" s="52" customFormat="1">
      <c r="L355" s="53"/>
      <c r="M355" s="54"/>
    </row>
    <row r="356" spans="12:13" s="52" customFormat="1">
      <c r="L356" s="53"/>
      <c r="M356" s="54"/>
    </row>
    <row r="357" spans="12:13" s="52" customFormat="1">
      <c r="L357" s="53"/>
      <c r="M357" s="54"/>
    </row>
    <row r="358" spans="12:13" s="52" customFormat="1">
      <c r="L358" s="53"/>
      <c r="M358" s="54"/>
    </row>
    <row r="359" spans="12:13" s="52" customFormat="1">
      <c r="L359" s="53"/>
      <c r="M359" s="54"/>
    </row>
    <row r="360" spans="12:13" s="52" customFormat="1">
      <c r="L360" s="53"/>
      <c r="M360" s="54"/>
    </row>
    <row r="361" spans="12:13" s="52" customFormat="1">
      <c r="L361" s="53"/>
      <c r="M361" s="54"/>
    </row>
    <row r="362" spans="12:13" s="52" customFormat="1">
      <c r="L362" s="53"/>
      <c r="M362" s="54"/>
    </row>
    <row r="363" spans="12:13" s="52" customFormat="1">
      <c r="L363" s="53"/>
      <c r="M363" s="54"/>
    </row>
    <row r="364" spans="12:13" s="52" customFormat="1">
      <c r="L364" s="53"/>
      <c r="M364" s="54"/>
    </row>
    <row r="365" spans="12:13" s="52" customFormat="1">
      <c r="L365" s="53"/>
      <c r="M365" s="54"/>
    </row>
    <row r="366" spans="12:13" s="52" customFormat="1">
      <c r="L366" s="53"/>
      <c r="M366" s="54"/>
    </row>
    <row r="367" spans="12:13" s="52" customFormat="1">
      <c r="L367" s="53"/>
      <c r="M367" s="54"/>
    </row>
    <row r="368" spans="12:13" s="52" customFormat="1">
      <c r="L368" s="53"/>
      <c r="M368" s="54"/>
    </row>
    <row r="369" spans="12:13" s="52" customFormat="1">
      <c r="L369" s="53"/>
      <c r="M369" s="54"/>
    </row>
    <row r="370" spans="12:13" s="52" customFormat="1">
      <c r="L370" s="53"/>
      <c r="M370" s="54"/>
    </row>
    <row r="371" spans="12:13" s="52" customFormat="1">
      <c r="L371" s="53"/>
      <c r="M371" s="54"/>
    </row>
    <row r="372" spans="12:13" s="52" customFormat="1">
      <c r="L372" s="53"/>
      <c r="M372" s="54"/>
    </row>
    <row r="373" spans="12:13" s="52" customFormat="1">
      <c r="L373" s="53"/>
      <c r="M373" s="54"/>
    </row>
    <row r="374" spans="12:13" s="52" customFormat="1">
      <c r="L374" s="53"/>
      <c r="M374" s="54"/>
    </row>
    <row r="375" spans="12:13" s="52" customFormat="1">
      <c r="L375" s="53"/>
      <c r="M375" s="54"/>
    </row>
    <row r="376" spans="12:13" s="52" customFormat="1">
      <c r="L376" s="53"/>
      <c r="M376" s="54"/>
    </row>
    <row r="377" spans="12:13" s="52" customFormat="1">
      <c r="L377" s="53"/>
      <c r="M377" s="54"/>
    </row>
    <row r="378" spans="12:13" s="52" customFormat="1">
      <c r="L378" s="53"/>
      <c r="M378" s="54"/>
    </row>
    <row r="379" spans="12:13" s="52" customFormat="1">
      <c r="L379" s="53"/>
      <c r="M379" s="54"/>
    </row>
    <row r="380" spans="12:13" s="52" customFormat="1">
      <c r="L380" s="53"/>
      <c r="M380" s="54"/>
    </row>
    <row r="381" spans="12:13" s="52" customFormat="1">
      <c r="L381" s="53"/>
      <c r="M381" s="54"/>
    </row>
    <row r="382" spans="12:13" s="52" customFormat="1">
      <c r="L382" s="53"/>
      <c r="M382" s="54"/>
    </row>
    <row r="383" spans="12:13" s="52" customFormat="1">
      <c r="L383" s="53"/>
      <c r="M383" s="54"/>
    </row>
    <row r="384" spans="12:13" s="52" customFormat="1">
      <c r="L384" s="53"/>
      <c r="M384" s="54"/>
    </row>
    <row r="385" spans="12:13" s="52" customFormat="1">
      <c r="L385" s="53"/>
      <c r="M385" s="54"/>
    </row>
    <row r="386" spans="12:13" s="52" customFormat="1">
      <c r="L386" s="53"/>
      <c r="M386" s="54"/>
    </row>
    <row r="387" spans="12:13" s="52" customFormat="1">
      <c r="L387" s="53"/>
      <c r="M387" s="54"/>
    </row>
    <row r="388" spans="12:13" s="52" customFormat="1">
      <c r="L388" s="53"/>
      <c r="M388" s="54"/>
    </row>
    <row r="389" spans="12:13" s="52" customFormat="1">
      <c r="L389" s="53"/>
      <c r="M389" s="54"/>
    </row>
    <row r="390" spans="12:13" s="52" customFormat="1">
      <c r="L390" s="53"/>
      <c r="M390" s="54"/>
    </row>
    <row r="391" spans="12:13" s="52" customFormat="1">
      <c r="L391" s="53"/>
      <c r="M391" s="54"/>
    </row>
    <row r="392" spans="12:13" s="52" customFormat="1">
      <c r="L392" s="53"/>
      <c r="M392" s="54"/>
    </row>
    <row r="393" spans="12:13" s="52" customFormat="1">
      <c r="L393" s="53"/>
      <c r="M393" s="54"/>
    </row>
    <row r="394" spans="12:13" s="52" customFormat="1">
      <c r="L394" s="53"/>
      <c r="M394" s="54"/>
    </row>
    <row r="395" spans="12:13" s="52" customFormat="1">
      <c r="L395" s="53"/>
      <c r="M395" s="54"/>
    </row>
    <row r="396" spans="12:13" s="52" customFormat="1">
      <c r="L396" s="53"/>
      <c r="M396" s="54"/>
    </row>
    <row r="397" spans="12:13" s="52" customFormat="1">
      <c r="L397" s="53"/>
      <c r="M397" s="54"/>
    </row>
    <row r="398" spans="12:13" s="52" customFormat="1">
      <c r="L398" s="53"/>
      <c r="M398" s="54"/>
    </row>
    <row r="399" spans="12:13" s="52" customFormat="1">
      <c r="L399" s="53"/>
      <c r="M399" s="54"/>
    </row>
    <row r="400" spans="12:13" s="52" customFormat="1">
      <c r="L400" s="53"/>
      <c r="M400" s="54"/>
    </row>
    <row r="401" spans="12:13" s="52" customFormat="1">
      <c r="L401" s="53"/>
      <c r="M401" s="54"/>
    </row>
    <row r="402" spans="12:13" s="52" customFormat="1">
      <c r="L402" s="53"/>
      <c r="M402" s="54"/>
    </row>
    <row r="403" spans="12:13" s="52" customFormat="1">
      <c r="L403" s="53"/>
      <c r="M403" s="54"/>
    </row>
    <row r="404" spans="12:13" s="52" customFormat="1">
      <c r="L404" s="53"/>
      <c r="M404" s="54"/>
    </row>
    <row r="405" spans="12:13" s="52" customFormat="1">
      <c r="L405" s="53"/>
      <c r="M405" s="54"/>
    </row>
    <row r="406" spans="12:13" s="52" customFormat="1">
      <c r="L406" s="53"/>
      <c r="M406" s="54"/>
    </row>
    <row r="407" spans="12:13" s="52" customFormat="1">
      <c r="L407" s="53"/>
      <c r="M407" s="54"/>
    </row>
    <row r="408" spans="12:13" s="52" customFormat="1">
      <c r="L408" s="53"/>
      <c r="M408" s="54"/>
    </row>
    <row r="409" spans="12:13" s="52" customFormat="1">
      <c r="L409" s="53"/>
      <c r="M409" s="54"/>
    </row>
    <row r="410" spans="12:13" s="52" customFormat="1">
      <c r="L410" s="53"/>
      <c r="M410" s="54"/>
    </row>
    <row r="411" spans="12:13" s="52" customFormat="1">
      <c r="L411" s="53"/>
      <c r="M411" s="54"/>
    </row>
    <row r="412" spans="12:13" s="52" customFormat="1">
      <c r="L412" s="53"/>
      <c r="M412" s="54"/>
    </row>
    <row r="413" spans="12:13" s="52" customFormat="1">
      <c r="L413" s="53"/>
      <c r="M413" s="54"/>
    </row>
    <row r="414" spans="12:13" s="52" customFormat="1">
      <c r="L414" s="53"/>
      <c r="M414" s="54"/>
    </row>
    <row r="415" spans="12:13" s="52" customFormat="1">
      <c r="L415" s="53"/>
      <c r="M415" s="54"/>
    </row>
    <row r="416" spans="12:13" s="52" customFormat="1">
      <c r="L416" s="53"/>
      <c r="M416" s="54"/>
    </row>
    <row r="417" spans="12:13" s="52" customFormat="1">
      <c r="L417" s="53"/>
      <c r="M417" s="54"/>
    </row>
    <row r="418" spans="12:13" s="52" customFormat="1">
      <c r="L418" s="53"/>
      <c r="M418" s="54"/>
    </row>
    <row r="419" spans="12:13" s="52" customFormat="1">
      <c r="L419" s="53"/>
      <c r="M419" s="54"/>
    </row>
    <row r="420" spans="12:13" s="52" customFormat="1">
      <c r="L420" s="53"/>
      <c r="M420" s="54"/>
    </row>
    <row r="421" spans="12:13" s="52" customFormat="1">
      <c r="L421" s="53"/>
      <c r="M421" s="54"/>
    </row>
    <row r="422" spans="12:13" s="52" customFormat="1">
      <c r="L422" s="53"/>
      <c r="M422" s="54"/>
    </row>
    <row r="423" spans="12:13" s="52" customFormat="1">
      <c r="L423" s="53"/>
      <c r="M423" s="54"/>
    </row>
    <row r="424" spans="12:13" s="52" customFormat="1">
      <c r="L424" s="53"/>
      <c r="M424" s="54"/>
    </row>
    <row r="425" spans="12:13" s="52" customFormat="1">
      <c r="L425" s="53"/>
      <c r="M425" s="54"/>
    </row>
    <row r="426" spans="12:13" s="52" customFormat="1">
      <c r="L426" s="53"/>
      <c r="M426" s="54"/>
    </row>
    <row r="427" spans="12:13" s="52" customFormat="1">
      <c r="L427" s="53"/>
      <c r="M427" s="54"/>
    </row>
    <row r="428" spans="12:13" s="52" customFormat="1">
      <c r="L428" s="53"/>
      <c r="M428" s="54"/>
    </row>
    <row r="429" spans="12:13" s="52" customFormat="1">
      <c r="L429" s="53"/>
      <c r="M429" s="54"/>
    </row>
    <row r="430" spans="12:13" s="52" customFormat="1">
      <c r="L430" s="53"/>
      <c r="M430" s="54"/>
    </row>
    <row r="431" spans="12:13" s="52" customFormat="1">
      <c r="L431" s="53"/>
      <c r="M431" s="54"/>
    </row>
    <row r="432" spans="12:13" s="52" customFormat="1">
      <c r="L432" s="53"/>
      <c r="M432" s="54"/>
    </row>
    <row r="433" spans="12:121" s="52" customFormat="1">
      <c r="L433" s="53"/>
      <c r="M433" s="54"/>
    </row>
    <row r="434" spans="12:121" s="52" customFormat="1">
      <c r="L434" s="53"/>
      <c r="M434" s="54"/>
    </row>
    <row r="435" spans="12:121" s="52" customFormat="1">
      <c r="L435" s="53"/>
      <c r="M435" s="54"/>
    </row>
    <row r="436" spans="12:121" s="52" customFormat="1">
      <c r="L436" s="53"/>
      <c r="M436" s="54"/>
      <c r="DP436" s="58"/>
      <c r="DQ436" s="58"/>
    </row>
  </sheetData>
  <sheetProtection algorithmName="SHA-512" hashValue="goVd1B2tQROseINyQwSWu1in05IQbws30/H/B3GCqK9UMjvz7B9n8Q6lALjdV9rVDBZKdWUY4q6SGwJZ186D8g==" saltValue="b4ywH07rXnH3cNMBTPezTw==" spinCount="100000" sheet="1" formatCells="0" formatColumns="0" formatRows="0"/>
  <mergeCells count="11">
    <mergeCell ref="B134:C134"/>
    <mergeCell ref="B196:L196"/>
    <mergeCell ref="B197:L197"/>
    <mergeCell ref="B198:L198"/>
    <mergeCell ref="B2:D2"/>
    <mergeCell ref="B5:F5"/>
    <mergeCell ref="B11:G11"/>
    <mergeCell ref="B13:G13"/>
    <mergeCell ref="B18:I18"/>
    <mergeCell ref="B26:J26"/>
    <mergeCell ref="B28:J28"/>
  </mergeCells>
  <dataValidations count="2">
    <dataValidation type="list" allowBlank="1" showInputMessage="1" showErrorMessage="1" sqref="F42" xr:uid="{3D3CBD46-9EDC-44EB-86AC-B361F11DB0EB}">
      <formula1>Select_units</formula1>
    </dataValidation>
    <dataValidation type="list" allowBlank="1" showDropDown="1" showInputMessage="1" showErrorMessage="1" sqref="AB119 AB142:AB143 AB153" xr:uid="{22C53341-CEEA-4B47-941E-D8999D97FAAC}">
      <formula1>Product</formula1>
    </dataValidation>
  </dataValidations>
  <hyperlinks>
    <hyperlink ref="B8" location="'PT 3 - vet hyg footwear'!Input" display="Input table" xr:uid="{7F4AE7A9-0EEE-425C-A74D-F8A1FD056DE5}"/>
    <hyperlink ref="B9" location="'PT 3 - vet hyg footwear'!Intermediate_calculations" display="Intermediate calculations" xr:uid="{BEEEC10D-697A-4B0B-A1A8-4F8D999F0534}"/>
    <hyperlink ref="B10" location="'PT 3 - vet hyg footwear'!Output" display="Output table" xr:uid="{A05A3465-04A1-4B26-BD58-0231D04E4C26}"/>
    <hyperlink ref="B11:G11" location="'PT 3 - vet hyg footwear'!Soil___arable_land" display="    Soil - arable land" xr:uid="{2CA12E3C-D5B0-4132-B551-7027C354ACC9}"/>
    <hyperlink ref="B13:G13" location="'PT 3 - vet hyg footwear'!Soil___grassland" display="    Soil - grassland" xr:uid="{83DE1081-72C0-4D6D-87E2-0A68045E6335}"/>
    <hyperlink ref="B12" location="'PT 3 - vet hyg footwear'!Groundwater_and_surface_water_ar" display="    Groundwater and surface water - in arable land areas" xr:uid="{03083100-67EE-48B8-93B8-87FA7D0D6B59}"/>
    <hyperlink ref="B14" location="'PT 3 - vet hyg footwear'!Groundwater_and_surface_water_gr" display="    Groundwater and surface water - in grassland areas" xr:uid="{28203EA0-989D-41B4-B400-832D8294B47C}"/>
    <hyperlink ref="B15" location="'PT 3 - vet hyg footwear'!STP" display="    STP" xr:uid="{4DCD7765-DDB5-4012-9226-03F2B82651CB}"/>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5EF8-A477-44F0-95F9-CF3F66ECE420}">
  <dimension ref="A1:DQ436"/>
  <sheetViews>
    <sheetView zoomScaleNormal="100" workbookViewId="0"/>
  </sheetViews>
  <sheetFormatPr defaultColWidth="8.7265625" defaultRowHeight="12.6"/>
  <cols>
    <col min="1" max="1" width="1.6328125" style="52" customWidth="1"/>
    <col min="2" max="2" width="50.6328125" style="58" customWidth="1"/>
    <col min="3" max="3" width="35.6328125" style="58" customWidth="1"/>
    <col min="4" max="4" width="80.6328125" style="58" customWidth="1"/>
    <col min="5" max="5" width="10.6328125" style="58" customWidth="1"/>
    <col min="6" max="6" width="15.6328125" style="58" customWidth="1"/>
    <col min="7" max="7" width="1.6328125" style="58" customWidth="1"/>
    <col min="8" max="8" width="15.6328125" style="58" customWidth="1"/>
    <col min="9" max="11" width="12.90625" style="58" customWidth="1"/>
    <col min="12" max="12" width="12.90625" style="140" customWidth="1"/>
    <col min="13" max="13" width="12.90625" style="54" customWidth="1"/>
    <col min="14" max="28" width="12.90625" style="52" customWidth="1"/>
    <col min="29" max="119" width="8.7265625" style="52"/>
    <col min="120" max="16384" width="8.7265625" style="58"/>
  </cols>
  <sheetData>
    <row r="1" spans="1:28" s="52" customFormat="1">
      <c r="L1" s="53"/>
      <c r="M1" s="54"/>
    </row>
    <row r="2" spans="1:28" ht="19.8">
      <c r="A2" s="55"/>
      <c r="B2" s="491" t="s">
        <v>191</v>
      </c>
      <c r="C2" s="491"/>
      <c r="D2" s="491"/>
      <c r="E2" s="56"/>
      <c r="F2" s="56"/>
      <c r="G2" s="56"/>
      <c r="H2" s="56"/>
      <c r="I2" s="56"/>
      <c r="J2" s="56"/>
      <c r="K2" s="56"/>
      <c r="L2" s="57"/>
    </row>
    <row r="3" spans="1:28" ht="13.2">
      <c r="A3" s="55"/>
      <c r="B3" s="59"/>
      <c r="C3" s="59"/>
      <c r="D3" s="55"/>
      <c r="E3" s="55"/>
      <c r="F3" s="55"/>
      <c r="G3" s="55"/>
      <c r="H3" s="55"/>
      <c r="I3" s="55"/>
      <c r="J3" s="55"/>
      <c r="K3" s="55"/>
      <c r="L3" s="57"/>
    </row>
    <row r="4" spans="1:28" ht="13.2">
      <c r="A4" s="55"/>
      <c r="B4" s="59"/>
      <c r="C4" s="59"/>
      <c r="D4" s="55"/>
      <c r="E4" s="55"/>
      <c r="F4" s="55"/>
      <c r="G4" s="55"/>
      <c r="H4" s="55"/>
      <c r="I4" s="55"/>
      <c r="J4" s="55"/>
      <c r="K4" s="55"/>
      <c r="L4" s="57"/>
    </row>
    <row r="5" spans="1:28" ht="17.399999999999999">
      <c r="A5" s="55"/>
      <c r="B5" s="492" t="s">
        <v>521</v>
      </c>
      <c r="C5" s="492"/>
      <c r="D5" s="492"/>
      <c r="E5" s="492"/>
      <c r="F5" s="492"/>
      <c r="G5" s="410"/>
      <c r="H5" s="60"/>
      <c r="I5" s="60"/>
      <c r="J5" s="60"/>
      <c r="K5" s="61"/>
      <c r="L5" s="61"/>
      <c r="M5" s="61"/>
      <c r="N5" s="61"/>
      <c r="O5" s="61"/>
      <c r="P5" s="61"/>
      <c r="Q5" s="61"/>
      <c r="R5" s="61"/>
      <c r="S5" s="61"/>
      <c r="T5" s="61"/>
      <c r="U5" s="61"/>
      <c r="V5" s="61"/>
      <c r="W5" s="61"/>
      <c r="X5" s="61"/>
      <c r="Y5" s="61"/>
      <c r="Z5" s="61"/>
      <c r="AA5" s="61"/>
      <c r="AB5" s="61"/>
    </row>
    <row r="6" spans="1:28" ht="16.2">
      <c r="A6" s="55"/>
      <c r="B6" s="62"/>
      <c r="C6" s="62"/>
      <c r="D6" s="63"/>
      <c r="E6" s="63"/>
      <c r="F6" s="63"/>
      <c r="G6" s="63"/>
      <c r="H6" s="63"/>
      <c r="I6" s="63"/>
      <c r="J6" s="63"/>
      <c r="K6" s="55"/>
      <c r="L6" s="55"/>
    </row>
    <row r="7" spans="1:28" s="52" customFormat="1" ht="14.25" customHeight="1">
      <c r="A7" s="55"/>
      <c r="B7" s="310" t="s">
        <v>118</v>
      </c>
      <c r="C7" s="49"/>
      <c r="D7" s="49"/>
      <c r="E7" s="49"/>
      <c r="F7" s="49"/>
      <c r="G7" s="158"/>
      <c r="H7" s="158"/>
      <c r="I7" s="64"/>
      <c r="J7" s="64"/>
      <c r="K7" s="64"/>
      <c r="L7" s="64"/>
      <c r="M7" s="54"/>
    </row>
    <row r="8" spans="1:28" s="52" customFormat="1" ht="14.25" customHeight="1">
      <c r="A8" s="55"/>
      <c r="B8" s="411" t="s">
        <v>119</v>
      </c>
      <c r="C8" s="158"/>
      <c r="D8" s="158"/>
      <c r="E8" s="158"/>
      <c r="F8" s="158"/>
      <c r="G8" s="158"/>
      <c r="H8" s="158"/>
      <c r="I8" s="64"/>
      <c r="J8" s="64"/>
      <c r="K8" s="64"/>
      <c r="L8" s="64"/>
      <c r="M8" s="54"/>
    </row>
    <row r="9" spans="1:28" s="52" customFormat="1" ht="14.25" customHeight="1">
      <c r="A9" s="55"/>
      <c r="B9" s="411" t="s">
        <v>49</v>
      </c>
      <c r="C9" s="158"/>
      <c r="D9" s="158"/>
      <c r="E9" s="158"/>
      <c r="F9" s="158"/>
      <c r="G9" s="158"/>
      <c r="H9" s="158"/>
      <c r="I9" s="64"/>
      <c r="J9" s="64"/>
      <c r="K9" s="64"/>
      <c r="L9" s="64"/>
      <c r="M9" s="54"/>
    </row>
    <row r="10" spans="1:28" s="52" customFormat="1" ht="14.25" customHeight="1">
      <c r="A10" s="55"/>
      <c r="B10" s="411" t="s">
        <v>120</v>
      </c>
      <c r="C10" s="158"/>
      <c r="D10" s="158"/>
      <c r="E10" s="158"/>
      <c r="F10" s="158"/>
      <c r="G10" s="158"/>
      <c r="H10" s="158"/>
      <c r="I10" s="64"/>
      <c r="J10" s="64"/>
      <c r="K10" s="64"/>
      <c r="L10" s="64"/>
      <c r="M10" s="54"/>
    </row>
    <row r="11" spans="1:28" s="52" customFormat="1" ht="14.25" customHeight="1">
      <c r="A11" s="55"/>
      <c r="B11" s="496" t="s">
        <v>121</v>
      </c>
      <c r="C11" s="496"/>
      <c r="D11" s="496"/>
      <c r="E11" s="496"/>
      <c r="F11" s="496"/>
      <c r="G11" s="496"/>
      <c r="H11" s="158"/>
      <c r="I11" s="64"/>
      <c r="J11" s="64"/>
      <c r="K11" s="64"/>
      <c r="L11" s="64"/>
      <c r="M11" s="54"/>
    </row>
    <row r="12" spans="1:28" s="52" customFormat="1" ht="14.25" customHeight="1">
      <c r="A12" s="55"/>
      <c r="B12" s="411" t="s">
        <v>323</v>
      </c>
      <c r="C12" s="65"/>
      <c r="D12" s="65"/>
      <c r="E12" s="65"/>
      <c r="F12" s="65"/>
      <c r="G12" s="65"/>
      <c r="H12" s="158"/>
      <c r="I12" s="64"/>
      <c r="J12" s="64"/>
      <c r="K12" s="64"/>
      <c r="L12" s="64"/>
      <c r="M12" s="54"/>
    </row>
    <row r="13" spans="1:28" s="52" customFormat="1" ht="14.25" customHeight="1">
      <c r="A13" s="55"/>
      <c r="B13" s="496" t="s">
        <v>122</v>
      </c>
      <c r="C13" s="496"/>
      <c r="D13" s="496"/>
      <c r="E13" s="496"/>
      <c r="F13" s="496"/>
      <c r="G13" s="496"/>
      <c r="H13" s="158"/>
      <c r="I13" s="64"/>
      <c r="J13" s="64"/>
      <c r="K13" s="64"/>
      <c r="L13" s="64"/>
      <c r="M13" s="54"/>
    </row>
    <row r="14" spans="1:28" s="52" customFormat="1" ht="14.25" customHeight="1">
      <c r="A14" s="55"/>
      <c r="B14" s="411" t="s">
        <v>324</v>
      </c>
      <c r="C14" s="65"/>
      <c r="D14" s="65"/>
      <c r="E14" s="65"/>
      <c r="F14" s="65"/>
      <c r="G14" s="65"/>
      <c r="H14" s="158"/>
      <c r="I14" s="64"/>
      <c r="J14" s="64"/>
      <c r="K14" s="64"/>
      <c r="L14" s="64"/>
      <c r="M14" s="54"/>
    </row>
    <row r="15" spans="1:28" s="52" customFormat="1" ht="14.25" customHeight="1">
      <c r="A15" s="55"/>
      <c r="B15" s="411" t="s">
        <v>123</v>
      </c>
      <c r="C15" s="65"/>
      <c r="D15" s="65"/>
      <c r="E15" s="65"/>
      <c r="F15" s="65"/>
      <c r="G15" s="65"/>
      <c r="H15" s="158"/>
      <c r="I15" s="64"/>
      <c r="J15" s="64"/>
      <c r="K15" s="64"/>
      <c r="L15" s="64"/>
      <c r="M15" s="54"/>
    </row>
    <row r="16" spans="1:28" s="52" customFormat="1" ht="14.25" customHeight="1">
      <c r="A16" s="55"/>
      <c r="B16" s="65"/>
      <c r="C16" s="311"/>
      <c r="D16" s="311"/>
      <c r="E16" s="311"/>
      <c r="F16" s="311"/>
      <c r="G16" s="311"/>
      <c r="H16" s="158"/>
      <c r="I16" s="64"/>
      <c r="J16" s="64"/>
      <c r="K16" s="64"/>
      <c r="L16" s="64"/>
      <c r="M16" s="54"/>
    </row>
    <row r="17" spans="1:121" s="67" customFormat="1" ht="13.8">
      <c r="A17" s="66"/>
      <c r="B17" s="68" t="s">
        <v>125</v>
      </c>
      <c r="C17" s="69"/>
      <c r="D17" s="69"/>
      <c r="E17" s="69"/>
      <c r="F17" s="70"/>
      <c r="G17" s="70"/>
      <c r="H17" s="70"/>
      <c r="I17" s="71"/>
      <c r="J17" s="71"/>
      <c r="K17" s="71"/>
      <c r="L17" s="71"/>
      <c r="M17" s="66"/>
      <c r="N17" s="66"/>
      <c r="O17" s="66"/>
      <c r="P17" s="66"/>
    </row>
    <row r="18" spans="1:121" s="72" customFormat="1" ht="13.8">
      <c r="B18" s="514" t="s">
        <v>124</v>
      </c>
      <c r="C18" s="514"/>
      <c r="D18" s="514"/>
      <c r="E18" s="514"/>
      <c r="F18" s="514"/>
      <c r="G18" s="514"/>
      <c r="H18" s="514"/>
      <c r="I18" s="514"/>
      <c r="J18" s="73"/>
      <c r="K18" s="73"/>
      <c r="L18" s="73"/>
      <c r="M18" s="74"/>
      <c r="N18" s="75"/>
    </row>
    <row r="19" spans="1:121" s="52" customFormat="1">
      <c r="A19" s="55"/>
      <c r="B19" s="55"/>
      <c r="C19" s="55"/>
      <c r="D19" s="55"/>
      <c r="E19" s="55"/>
      <c r="F19" s="55"/>
      <c r="G19" s="55"/>
      <c r="H19" s="55"/>
      <c r="I19" s="55"/>
      <c r="J19" s="55"/>
      <c r="K19" s="55"/>
      <c r="L19" s="57"/>
      <c r="M19" s="54"/>
    </row>
    <row r="20" spans="1:121" s="52" customFormat="1">
      <c r="A20" s="55"/>
      <c r="B20" s="457" t="s">
        <v>55</v>
      </c>
      <c r="C20" s="76"/>
      <c r="D20" s="55"/>
      <c r="E20" s="55"/>
      <c r="F20" s="55"/>
      <c r="G20" s="55"/>
      <c r="H20" s="55"/>
      <c r="I20" s="55"/>
      <c r="J20" s="55"/>
      <c r="K20" s="55"/>
      <c r="L20" s="57"/>
      <c r="M20" s="54"/>
      <c r="DP20" s="58"/>
      <c r="DQ20" s="58"/>
    </row>
    <row r="21" spans="1:121">
      <c r="A21" s="55"/>
      <c r="B21" s="54" t="s">
        <v>54</v>
      </c>
      <c r="C21" s="54"/>
      <c r="D21" s="54"/>
      <c r="E21" s="54"/>
      <c r="F21" s="54"/>
      <c r="G21" s="54"/>
      <c r="H21" s="54"/>
      <c r="I21" s="54"/>
      <c r="J21" s="54"/>
      <c r="K21" s="78"/>
      <c r="L21" s="78"/>
      <c r="M21" s="78"/>
      <c r="N21" s="79"/>
      <c r="O21" s="55"/>
      <c r="P21" s="55"/>
      <c r="Q21" s="55"/>
      <c r="R21" s="55"/>
      <c r="S21" s="55"/>
      <c r="T21" s="55"/>
      <c r="U21" s="55"/>
      <c r="V21" s="55"/>
      <c r="W21" s="55"/>
      <c r="DP21" s="52"/>
    </row>
    <row r="22" spans="1:121">
      <c r="A22" s="55"/>
      <c r="B22" s="473" t="s">
        <v>584</v>
      </c>
      <c r="C22" s="474"/>
      <c r="D22" s="474"/>
      <c r="E22" s="474"/>
      <c r="F22" s="474"/>
      <c r="G22" s="474"/>
      <c r="H22" s="474"/>
      <c r="I22" s="474"/>
      <c r="J22" s="474"/>
      <c r="K22" s="78"/>
      <c r="L22" s="78"/>
      <c r="M22" s="78"/>
      <c r="N22" s="79"/>
      <c r="O22" s="55"/>
      <c r="P22" s="55"/>
      <c r="Q22" s="55"/>
      <c r="R22" s="55"/>
      <c r="S22" s="55"/>
      <c r="T22" s="55"/>
      <c r="U22" s="55"/>
      <c r="V22" s="55"/>
      <c r="W22" s="55"/>
      <c r="DP22" s="52"/>
    </row>
    <row r="23" spans="1:121" ht="13.8">
      <c r="A23" s="55"/>
      <c r="B23" s="473" t="s">
        <v>585</v>
      </c>
      <c r="C23" s="474"/>
      <c r="D23" s="474"/>
      <c r="E23" s="474"/>
      <c r="F23" s="474"/>
      <c r="G23" s="474"/>
      <c r="H23" s="474"/>
      <c r="I23" s="474"/>
      <c r="J23" s="474"/>
      <c r="K23" s="78"/>
      <c r="L23" s="78"/>
      <c r="M23" s="78"/>
      <c r="N23" s="79"/>
      <c r="O23" s="55"/>
      <c r="P23" s="55"/>
      <c r="Q23" s="55"/>
      <c r="R23" s="55"/>
      <c r="S23" s="55"/>
      <c r="T23" s="55"/>
      <c r="U23" s="55"/>
      <c r="V23" s="55"/>
      <c r="W23" s="55"/>
      <c r="DP23" s="52"/>
    </row>
    <row r="24" spans="1:121">
      <c r="A24" s="55"/>
      <c r="B24" s="473" t="s">
        <v>577</v>
      </c>
      <c r="C24" s="474"/>
      <c r="D24" s="474"/>
      <c r="E24" s="474"/>
      <c r="F24" s="474"/>
      <c r="G24" s="474"/>
      <c r="H24" s="474"/>
      <c r="I24" s="474"/>
      <c r="J24" s="474"/>
      <c r="K24" s="78"/>
      <c r="L24" s="78"/>
      <c r="M24" s="78"/>
      <c r="N24" s="79"/>
      <c r="O24" s="55"/>
      <c r="P24" s="55"/>
      <c r="Q24" s="55"/>
      <c r="R24" s="55"/>
      <c r="S24" s="55"/>
      <c r="T24" s="55"/>
      <c r="U24" s="55"/>
      <c r="V24" s="55"/>
      <c r="W24" s="55"/>
      <c r="DP24" s="52"/>
    </row>
    <row r="25" spans="1:121" ht="17.25" customHeight="1">
      <c r="A25" s="55"/>
      <c r="B25" s="473" t="s">
        <v>586</v>
      </c>
      <c r="C25" s="473"/>
      <c r="D25" s="473"/>
      <c r="E25" s="473"/>
      <c r="F25" s="473"/>
      <c r="G25" s="473"/>
      <c r="H25" s="473"/>
      <c r="I25" s="473"/>
      <c r="J25" s="473"/>
      <c r="K25" s="78"/>
      <c r="L25" s="78"/>
      <c r="M25" s="78"/>
      <c r="N25" s="79"/>
      <c r="O25" s="55"/>
      <c r="P25" s="55"/>
      <c r="Q25" s="55"/>
      <c r="R25" s="55"/>
      <c r="S25" s="55"/>
      <c r="T25" s="55"/>
      <c r="U25" s="55"/>
      <c r="V25" s="55"/>
      <c r="W25" s="55"/>
      <c r="DP25" s="52"/>
    </row>
    <row r="26" spans="1:121" ht="12.75" customHeight="1">
      <c r="A26" s="55"/>
      <c r="B26" s="499" t="s">
        <v>579</v>
      </c>
      <c r="C26" s="500"/>
      <c r="D26" s="500"/>
      <c r="E26" s="500"/>
      <c r="F26" s="500"/>
      <c r="G26" s="500"/>
      <c r="H26" s="500"/>
      <c r="I26" s="500"/>
      <c r="J26" s="500"/>
      <c r="K26" s="78"/>
      <c r="L26" s="78"/>
      <c r="M26" s="78"/>
      <c r="N26" s="79"/>
      <c r="O26" s="55"/>
      <c r="P26" s="55"/>
      <c r="Q26" s="55"/>
      <c r="R26" s="55"/>
      <c r="S26" s="55"/>
      <c r="T26" s="55"/>
      <c r="U26" s="55"/>
      <c r="V26" s="55"/>
      <c r="W26" s="55"/>
      <c r="DP26" s="52"/>
    </row>
    <row r="27" spans="1:121">
      <c r="A27" s="55"/>
      <c r="B27" s="473" t="s">
        <v>582</v>
      </c>
      <c r="C27" s="474"/>
      <c r="D27" s="474"/>
      <c r="E27" s="474"/>
      <c r="F27" s="474"/>
      <c r="G27" s="474"/>
      <c r="H27" s="474"/>
      <c r="I27" s="474"/>
      <c r="J27" s="474"/>
      <c r="K27" s="78"/>
      <c r="L27" s="78"/>
      <c r="M27" s="78"/>
      <c r="N27" s="79"/>
      <c r="O27" s="55"/>
      <c r="P27" s="55"/>
      <c r="Q27" s="55"/>
      <c r="R27" s="55"/>
      <c r="S27" s="55"/>
      <c r="T27" s="55"/>
      <c r="U27" s="55"/>
      <c r="V27" s="55"/>
      <c r="W27" s="55"/>
      <c r="DP27" s="52"/>
    </row>
    <row r="28" spans="1:121" ht="25.5" customHeight="1">
      <c r="A28" s="55"/>
      <c r="B28" s="499" t="s">
        <v>583</v>
      </c>
      <c r="C28" s="500"/>
      <c r="D28" s="500"/>
      <c r="E28" s="500"/>
      <c r="F28" s="500"/>
      <c r="G28" s="500"/>
      <c r="H28" s="500"/>
      <c r="I28" s="500"/>
      <c r="J28" s="500"/>
      <c r="K28" s="78"/>
      <c r="L28" s="78"/>
      <c r="M28" s="78"/>
      <c r="N28" s="79"/>
      <c r="O28" s="55"/>
      <c r="P28" s="55"/>
      <c r="Q28" s="55"/>
      <c r="R28" s="55"/>
      <c r="S28" s="55"/>
      <c r="T28" s="55"/>
      <c r="U28" s="55"/>
      <c r="V28" s="55"/>
      <c r="W28" s="55"/>
      <c r="DP28" s="52"/>
    </row>
    <row r="29" spans="1:121">
      <c r="A29" s="55"/>
      <c r="B29" s="54" t="s">
        <v>111</v>
      </c>
      <c r="C29" s="366"/>
      <c r="D29" s="366"/>
      <c r="E29" s="366"/>
      <c r="F29" s="366"/>
      <c r="G29" s="366"/>
      <c r="H29" s="366"/>
      <c r="I29" s="366"/>
      <c r="J29" s="366"/>
      <c r="K29" s="78"/>
      <c r="L29" s="78"/>
      <c r="M29" s="78"/>
      <c r="N29" s="79"/>
      <c r="O29" s="55"/>
      <c r="P29" s="55"/>
      <c r="Q29" s="55"/>
      <c r="R29" s="55"/>
      <c r="S29" s="55"/>
      <c r="T29" s="55"/>
      <c r="U29" s="55"/>
      <c r="V29" s="55"/>
      <c r="W29" s="55"/>
      <c r="DP29" s="52"/>
    </row>
    <row r="30" spans="1:121" s="52" customFormat="1">
      <c r="A30" s="55"/>
      <c r="B30" s="77"/>
      <c r="C30" s="77"/>
      <c r="D30" s="77"/>
      <c r="E30" s="77"/>
      <c r="F30" s="77"/>
      <c r="G30" s="77"/>
      <c r="H30" s="78"/>
      <c r="I30" s="78"/>
      <c r="J30" s="78"/>
      <c r="K30" s="78"/>
      <c r="L30" s="78"/>
      <c r="M30" s="79"/>
      <c r="N30" s="55"/>
      <c r="O30" s="55"/>
      <c r="P30" s="55"/>
      <c r="Q30" s="55"/>
      <c r="R30" s="55"/>
      <c r="S30" s="55"/>
      <c r="T30" s="55"/>
      <c r="U30" s="55"/>
      <c r="V30" s="55"/>
      <c r="DP30" s="58"/>
      <c r="DQ30" s="58"/>
    </row>
    <row r="31" spans="1:121" s="52" customFormat="1" ht="16.2">
      <c r="A31" s="55"/>
      <c r="B31" s="80" t="s">
        <v>0</v>
      </c>
      <c r="C31" s="80"/>
      <c r="D31" s="81"/>
      <c r="E31" s="81"/>
      <c r="F31" s="81"/>
      <c r="G31" s="81"/>
      <c r="H31" s="81"/>
      <c r="I31" s="81"/>
      <c r="J31" s="81"/>
      <c r="K31" s="81"/>
      <c r="L31" s="82"/>
      <c r="M31" s="82"/>
      <c r="N31" s="82"/>
      <c r="O31" s="82"/>
      <c r="P31" s="82"/>
      <c r="Q31" s="82"/>
      <c r="R31" s="82"/>
      <c r="S31" s="82"/>
      <c r="T31" s="82"/>
      <c r="U31" s="82"/>
      <c r="V31" s="82"/>
      <c r="W31" s="82"/>
      <c r="X31" s="82"/>
      <c r="Y31" s="82"/>
      <c r="Z31" s="82"/>
      <c r="AA31" s="82"/>
      <c r="AB31" s="82"/>
      <c r="DP31" s="58"/>
      <c r="DQ31" s="58"/>
    </row>
    <row r="32" spans="1:121">
      <c r="A32" s="55"/>
      <c r="B32" s="83"/>
      <c r="C32" s="83"/>
      <c r="D32" s="83"/>
      <c r="E32" s="83"/>
      <c r="F32" s="83"/>
      <c r="G32" s="83"/>
      <c r="H32" s="83"/>
      <c r="I32" s="83"/>
      <c r="J32" s="83"/>
      <c r="K32" s="83"/>
      <c r="L32" s="84"/>
      <c r="M32" s="85"/>
      <c r="N32" s="86"/>
      <c r="O32" s="86"/>
      <c r="P32" s="86"/>
      <c r="Q32" s="86"/>
      <c r="R32" s="86"/>
      <c r="S32" s="86"/>
      <c r="T32" s="86"/>
      <c r="U32" s="86"/>
      <c r="V32" s="86"/>
      <c r="W32" s="86"/>
      <c r="X32" s="86"/>
      <c r="Y32" s="86"/>
      <c r="Z32" s="86"/>
      <c r="AA32" s="86"/>
      <c r="AB32" s="86"/>
    </row>
    <row r="33" spans="1:121" s="52" customFormat="1" ht="13.8">
      <c r="A33" s="55"/>
      <c r="B33" s="87" t="s">
        <v>2</v>
      </c>
      <c r="C33" s="88" t="s">
        <v>4</v>
      </c>
      <c r="D33" s="88" t="s">
        <v>9</v>
      </c>
      <c r="E33" s="89" t="s">
        <v>11</v>
      </c>
      <c r="F33" s="89" t="s">
        <v>3</v>
      </c>
      <c r="G33" s="89"/>
      <c r="H33" s="89" t="s">
        <v>7</v>
      </c>
      <c r="I33" s="86"/>
      <c r="J33" s="86"/>
      <c r="K33" s="86"/>
      <c r="L33" s="90"/>
      <c r="M33" s="85"/>
      <c r="N33" s="86"/>
      <c r="O33" s="86"/>
      <c r="P33" s="86"/>
      <c r="Q33" s="86"/>
      <c r="R33" s="86"/>
      <c r="S33" s="86"/>
      <c r="T33" s="86"/>
      <c r="U33" s="86"/>
      <c r="V33" s="86"/>
      <c r="W33" s="86"/>
      <c r="X33" s="86"/>
      <c r="Y33" s="86"/>
      <c r="Z33" s="86"/>
      <c r="AA33" s="86"/>
      <c r="AB33" s="86"/>
    </row>
    <row r="34" spans="1:121" s="52" customFormat="1">
      <c r="A34" s="55"/>
      <c r="B34" s="91"/>
      <c r="C34" s="83"/>
      <c r="D34" s="83"/>
      <c r="E34" s="83"/>
      <c r="F34" s="83"/>
      <c r="G34" s="83"/>
      <c r="H34" s="84"/>
      <c r="I34" s="86"/>
      <c r="J34" s="86"/>
      <c r="K34" s="86"/>
      <c r="L34" s="90"/>
      <c r="M34" s="85"/>
      <c r="N34" s="86"/>
      <c r="O34" s="86"/>
      <c r="P34" s="86"/>
      <c r="Q34" s="86"/>
      <c r="R34" s="86"/>
      <c r="S34" s="86"/>
      <c r="T34" s="86"/>
      <c r="U34" s="86"/>
      <c r="V34" s="86"/>
      <c r="W34" s="86"/>
      <c r="X34" s="86"/>
      <c r="Y34" s="86"/>
      <c r="Z34" s="86"/>
      <c r="AA34" s="86"/>
      <c r="AB34" s="86"/>
    </row>
    <row r="35" spans="1:121" s="52" customFormat="1">
      <c r="A35" s="55"/>
      <c r="B35" s="289" t="s">
        <v>307</v>
      </c>
      <c r="C35" s="289"/>
      <c r="D35" s="289"/>
      <c r="E35" s="289"/>
      <c r="F35" s="289"/>
      <c r="G35" s="289"/>
      <c r="H35" s="289"/>
      <c r="I35" s="86"/>
      <c r="J35" s="92"/>
      <c r="K35" s="92"/>
      <c r="L35" s="84"/>
      <c r="M35" s="85"/>
      <c r="N35" s="86"/>
      <c r="O35" s="86"/>
      <c r="P35" s="86"/>
      <c r="Q35" s="86"/>
      <c r="R35" s="86"/>
      <c r="S35" s="86"/>
      <c r="T35" s="86"/>
      <c r="U35" s="86"/>
      <c r="V35" s="86"/>
      <c r="W35" s="86"/>
      <c r="X35" s="86"/>
      <c r="Y35" s="86"/>
      <c r="Z35" s="86"/>
      <c r="AA35" s="86"/>
      <c r="AB35" s="86"/>
    </row>
    <row r="36" spans="1:121" s="52" customFormat="1" ht="16.2">
      <c r="A36" s="55"/>
      <c r="B36" s="289" t="s">
        <v>308</v>
      </c>
      <c r="C36" s="304"/>
      <c r="D36" s="304"/>
      <c r="E36" s="304"/>
      <c r="F36" s="304"/>
      <c r="G36" s="304"/>
      <c r="H36" s="304"/>
      <c r="I36" s="86"/>
      <c r="J36" s="92"/>
      <c r="K36" s="92"/>
      <c r="L36" s="84"/>
      <c r="M36" s="85"/>
      <c r="N36" s="86"/>
      <c r="O36" s="86"/>
      <c r="P36" s="86"/>
      <c r="Q36" s="86"/>
      <c r="R36" s="86"/>
      <c r="S36" s="86"/>
      <c r="T36" s="86"/>
      <c r="U36" s="86"/>
      <c r="V36" s="86"/>
      <c r="W36" s="86"/>
      <c r="X36" s="86"/>
      <c r="Y36" s="86"/>
      <c r="Z36" s="86"/>
      <c r="AA36" s="86"/>
      <c r="AB36" s="86"/>
    </row>
    <row r="37" spans="1:121" s="52" customFormat="1" ht="16.2">
      <c r="A37" s="55"/>
      <c r="B37" s="289"/>
      <c r="C37" s="304"/>
      <c r="D37" s="304"/>
      <c r="E37" s="304"/>
      <c r="F37" s="304"/>
      <c r="G37" s="304"/>
      <c r="H37" s="304"/>
      <c r="I37" s="86"/>
      <c r="J37" s="92"/>
      <c r="K37" s="92"/>
      <c r="L37" s="84"/>
      <c r="M37" s="85"/>
      <c r="N37" s="86"/>
      <c r="O37" s="86"/>
      <c r="P37" s="86"/>
      <c r="Q37" s="86"/>
      <c r="R37" s="86"/>
      <c r="S37" s="86"/>
      <c r="T37" s="86"/>
      <c r="U37" s="86"/>
      <c r="V37" s="86"/>
      <c r="W37" s="86"/>
      <c r="X37" s="86"/>
      <c r="Y37" s="86"/>
      <c r="Z37" s="86"/>
      <c r="AA37" s="86"/>
      <c r="AB37" s="86"/>
    </row>
    <row r="38" spans="1:121" s="52" customFormat="1" ht="16.8" thickBot="1">
      <c r="A38" s="55"/>
      <c r="B38" s="432" t="s">
        <v>518</v>
      </c>
      <c r="C38" s="304"/>
      <c r="D38" s="304"/>
      <c r="E38" s="304"/>
      <c r="F38" s="304"/>
      <c r="G38" s="304"/>
      <c r="H38" s="304"/>
      <c r="I38" s="86"/>
      <c r="J38" s="92"/>
      <c r="K38" s="92"/>
      <c r="L38" s="84"/>
      <c r="M38" s="85"/>
      <c r="N38" s="86"/>
      <c r="O38" s="86"/>
      <c r="P38" s="86"/>
      <c r="Q38" s="86"/>
      <c r="R38" s="86"/>
      <c r="S38" s="86"/>
      <c r="T38" s="86"/>
      <c r="U38" s="86"/>
      <c r="V38" s="86"/>
      <c r="W38" s="86"/>
      <c r="X38" s="86"/>
      <c r="Y38" s="86"/>
      <c r="Z38" s="86"/>
      <c r="AA38" s="86"/>
      <c r="AB38" s="86"/>
    </row>
    <row r="39" spans="1:121" s="52" customFormat="1" ht="16.2">
      <c r="A39" s="55"/>
      <c r="B39" s="458"/>
      <c r="C39" s="459"/>
      <c r="D39" s="459"/>
      <c r="E39" s="459"/>
      <c r="F39" s="459"/>
      <c r="G39" s="459"/>
      <c r="H39" s="459"/>
      <c r="I39" s="345"/>
      <c r="J39" s="92"/>
      <c r="K39" s="92"/>
      <c r="L39" s="84"/>
      <c r="M39" s="85"/>
      <c r="N39" s="86"/>
      <c r="O39" s="86"/>
      <c r="P39" s="86"/>
      <c r="Q39" s="86"/>
      <c r="R39" s="86"/>
      <c r="S39" s="86"/>
      <c r="T39" s="86"/>
      <c r="U39" s="86"/>
      <c r="V39" s="86"/>
      <c r="W39" s="86"/>
      <c r="X39" s="86"/>
      <c r="Y39" s="86"/>
      <c r="Z39" s="86"/>
      <c r="AA39" s="86"/>
      <c r="AB39" s="86"/>
    </row>
    <row r="40" spans="1:121" s="52" customFormat="1">
      <c r="A40" s="55"/>
      <c r="B40" s="341" t="s">
        <v>413</v>
      </c>
      <c r="C40" s="84"/>
      <c r="D40" s="94" t="s">
        <v>414</v>
      </c>
      <c r="E40" s="92" t="s">
        <v>6</v>
      </c>
      <c r="F40" s="101" t="s">
        <v>88</v>
      </c>
      <c r="G40" s="83"/>
      <c r="H40" s="95"/>
      <c r="I40" s="346"/>
      <c r="J40" s="86"/>
      <c r="K40" s="86"/>
      <c r="L40" s="86"/>
      <c r="M40" s="85"/>
      <c r="N40" s="86"/>
      <c r="O40" s="86"/>
      <c r="P40" s="86"/>
      <c r="Q40" s="86"/>
      <c r="R40" s="86"/>
      <c r="S40" s="86"/>
      <c r="T40" s="86"/>
      <c r="U40" s="86"/>
      <c r="V40" s="86"/>
      <c r="W40" s="86"/>
      <c r="X40" s="86"/>
      <c r="Y40" s="86"/>
      <c r="Z40" s="86"/>
      <c r="AA40" s="86"/>
      <c r="AB40" s="86"/>
      <c r="DP40" s="58"/>
      <c r="DQ40" s="58"/>
    </row>
    <row r="41" spans="1:121" s="52" customFormat="1" ht="13.2" thickBot="1">
      <c r="A41" s="55"/>
      <c r="B41" s="341"/>
      <c r="C41" s="93"/>
      <c r="D41" s="83"/>
      <c r="E41" s="83"/>
      <c r="F41" s="83"/>
      <c r="G41" s="83"/>
      <c r="H41" s="83"/>
      <c r="I41" s="347"/>
      <c r="J41" s="92"/>
      <c r="K41" s="92"/>
      <c r="L41" s="84"/>
      <c r="M41" s="85"/>
      <c r="N41" s="86"/>
      <c r="O41" s="86"/>
      <c r="P41" s="86"/>
      <c r="Q41" s="86"/>
      <c r="R41" s="86"/>
      <c r="S41" s="86"/>
      <c r="T41" s="86"/>
      <c r="U41" s="86"/>
      <c r="V41" s="86"/>
      <c r="W41" s="86"/>
      <c r="X41" s="86"/>
      <c r="Y41" s="86"/>
      <c r="Z41" s="86"/>
      <c r="AA41" s="86"/>
      <c r="AB41" s="86"/>
    </row>
    <row r="42" spans="1:121" s="52" customFormat="1" ht="16.2" thickBot="1">
      <c r="A42" s="55"/>
      <c r="B42" s="341" t="s">
        <v>319</v>
      </c>
      <c r="C42" s="416" t="s">
        <v>507</v>
      </c>
      <c r="D42" s="417" t="s">
        <v>502</v>
      </c>
      <c r="E42" s="422" t="s">
        <v>6</v>
      </c>
      <c r="F42" s="423" t="s">
        <v>321</v>
      </c>
      <c r="G42" s="344"/>
      <c r="H42" s="424"/>
      <c r="I42" s="346"/>
      <c r="J42" s="86"/>
      <c r="K42" s="86"/>
      <c r="L42" s="86"/>
      <c r="M42" s="85"/>
      <c r="N42" s="86"/>
      <c r="O42" s="86"/>
      <c r="P42" s="86"/>
      <c r="Q42" s="86"/>
      <c r="R42" s="86"/>
      <c r="S42" s="86"/>
      <c r="T42" s="86"/>
      <c r="U42" s="86"/>
      <c r="V42" s="86"/>
      <c r="W42" s="86"/>
      <c r="X42" s="86"/>
      <c r="Y42" s="86"/>
      <c r="Z42" s="86"/>
      <c r="AA42" s="86"/>
      <c r="AB42" s="86"/>
      <c r="DP42" s="58"/>
      <c r="DQ42" s="58"/>
    </row>
    <row r="43" spans="1:121" s="52" customFormat="1" ht="3" customHeight="1" thickTop="1">
      <c r="A43" s="55"/>
      <c r="B43" s="341"/>
      <c r="C43" s="418"/>
      <c r="D43" s="84"/>
      <c r="E43" s="92"/>
      <c r="F43" s="101"/>
      <c r="G43" s="83"/>
      <c r="H43" s="425"/>
      <c r="I43" s="346"/>
      <c r="J43" s="86"/>
      <c r="K43" s="86"/>
      <c r="L43" s="86"/>
      <c r="M43" s="85"/>
      <c r="N43" s="86"/>
      <c r="O43" s="86"/>
      <c r="P43" s="86"/>
      <c r="Q43" s="86"/>
      <c r="R43" s="86"/>
      <c r="S43" s="86"/>
      <c r="T43" s="86"/>
      <c r="U43" s="86"/>
      <c r="V43" s="86"/>
      <c r="W43" s="86"/>
      <c r="X43" s="86"/>
      <c r="Y43" s="86"/>
      <c r="Z43" s="86"/>
      <c r="AA43" s="86"/>
      <c r="AB43" s="86"/>
      <c r="DP43" s="58"/>
      <c r="DQ43" s="58"/>
    </row>
    <row r="44" spans="1:121" s="52" customFormat="1" ht="37.799999999999997">
      <c r="A44" s="55"/>
      <c r="B44" s="341"/>
      <c r="C44" s="419"/>
      <c r="D44" s="100" t="s">
        <v>503</v>
      </c>
      <c r="E44" s="101" t="s">
        <v>6</v>
      </c>
      <c r="F44" s="101" t="s">
        <v>412</v>
      </c>
      <c r="G44" s="101"/>
      <c r="H44" s="426"/>
      <c r="I44" s="346"/>
      <c r="J44" s="86"/>
      <c r="K44" s="86"/>
      <c r="L44" s="86"/>
      <c r="M44" s="85"/>
      <c r="N44" s="86"/>
      <c r="O44" s="86"/>
      <c r="P44" s="86"/>
      <c r="Q44" s="86"/>
      <c r="R44" s="86"/>
      <c r="S44" s="86"/>
      <c r="T44" s="86"/>
      <c r="U44" s="86"/>
      <c r="V44" s="86"/>
      <c r="W44" s="86"/>
      <c r="X44" s="86"/>
      <c r="Y44" s="86"/>
      <c r="Z44" s="86"/>
      <c r="AA44" s="86"/>
      <c r="AB44" s="86"/>
      <c r="DP44" s="58"/>
      <c r="DQ44" s="58"/>
    </row>
    <row r="45" spans="1:121" s="52" customFormat="1" ht="3" customHeight="1">
      <c r="A45" s="55"/>
      <c r="B45" s="341"/>
      <c r="C45" s="419"/>
      <c r="D45" s="164"/>
      <c r="E45" s="92"/>
      <c r="F45" s="101"/>
      <c r="G45" s="101"/>
      <c r="H45" s="425"/>
      <c r="I45" s="346"/>
      <c r="J45" s="86"/>
      <c r="K45" s="86"/>
      <c r="L45" s="86"/>
      <c r="M45" s="85"/>
      <c r="N45" s="86"/>
      <c r="O45" s="86"/>
      <c r="P45" s="86"/>
      <c r="Q45" s="86"/>
      <c r="R45" s="86"/>
      <c r="S45" s="86"/>
      <c r="T45" s="86"/>
      <c r="U45" s="86"/>
      <c r="V45" s="86"/>
      <c r="W45" s="86"/>
      <c r="X45" s="86"/>
      <c r="Y45" s="86"/>
      <c r="Z45" s="86"/>
      <c r="AA45" s="86"/>
      <c r="AB45" s="86"/>
      <c r="DP45" s="58"/>
      <c r="DQ45" s="58"/>
    </row>
    <row r="46" spans="1:121" s="52" customFormat="1" ht="14.4" thickBot="1">
      <c r="A46" s="55"/>
      <c r="B46" s="341"/>
      <c r="C46" s="420" t="s">
        <v>504</v>
      </c>
      <c r="D46" s="352" t="s">
        <v>505</v>
      </c>
      <c r="E46" s="427" t="s">
        <v>8</v>
      </c>
      <c r="F46" s="354" t="s">
        <v>178</v>
      </c>
      <c r="G46" s="354"/>
      <c r="H46" s="428" t="str">
        <f>IF(AND(F42='Pick-lists &amp; Defaults'!B6,ISNUMBER(as_content),ISNUMBER(density),ISNUMBER(Purity)),as_content*density*Purity/10,IF(AND(F42='Pick-lists &amp; Defaults'!B7,ISNUMBER(as_content),ISNUMBER(Purity)),as_content*Purity/100,"??"))</f>
        <v>??</v>
      </c>
      <c r="I46" s="346"/>
      <c r="J46" s="86"/>
      <c r="K46" s="86"/>
      <c r="L46" s="86"/>
      <c r="M46" s="85"/>
      <c r="N46" s="86"/>
      <c r="O46" s="86"/>
      <c r="P46" s="86"/>
      <c r="Q46" s="86"/>
      <c r="R46" s="86"/>
      <c r="S46" s="86"/>
      <c r="T46" s="86"/>
      <c r="U46" s="86"/>
      <c r="V46" s="86"/>
      <c r="W46" s="86"/>
      <c r="X46" s="86"/>
      <c r="Y46" s="86"/>
      <c r="Z46" s="86"/>
      <c r="AA46" s="86"/>
      <c r="AB46" s="86"/>
      <c r="DP46" s="58"/>
      <c r="DQ46" s="58"/>
    </row>
    <row r="47" spans="1:121" s="52" customFormat="1">
      <c r="A47" s="55"/>
      <c r="B47" s="349"/>
      <c r="C47" s="84"/>
      <c r="D47" s="84"/>
      <c r="E47" s="92"/>
      <c r="F47" s="101"/>
      <c r="G47" s="92"/>
      <c r="H47" s="92"/>
      <c r="I47" s="347"/>
      <c r="J47" s="86"/>
      <c r="K47" s="86"/>
      <c r="L47" s="86"/>
      <c r="M47" s="85"/>
      <c r="N47" s="86"/>
      <c r="O47" s="86"/>
      <c r="P47" s="86"/>
      <c r="Q47" s="86"/>
      <c r="R47" s="86"/>
      <c r="S47" s="86"/>
      <c r="T47" s="86"/>
      <c r="U47" s="86"/>
      <c r="V47" s="86"/>
      <c r="W47" s="86"/>
      <c r="X47" s="86"/>
      <c r="Y47" s="86"/>
      <c r="Z47" s="86"/>
      <c r="AA47" s="86"/>
      <c r="AB47" s="86"/>
      <c r="DP47" s="58"/>
      <c r="DQ47" s="58"/>
    </row>
    <row r="48" spans="1:121" ht="25.2">
      <c r="A48" s="55"/>
      <c r="B48" s="350" t="s">
        <v>315</v>
      </c>
      <c r="C48" s="94" t="s">
        <v>316</v>
      </c>
      <c r="D48" s="99" t="s">
        <v>410</v>
      </c>
      <c r="E48" s="101" t="s">
        <v>6</v>
      </c>
      <c r="F48" s="101" t="s">
        <v>5</v>
      </c>
      <c r="G48" s="98"/>
      <c r="H48" s="95"/>
      <c r="I48" s="346"/>
      <c r="J48" s="86"/>
      <c r="K48" s="86"/>
      <c r="L48" s="90"/>
      <c r="M48" s="85"/>
      <c r="N48" s="86"/>
      <c r="O48" s="86"/>
      <c r="P48" s="86"/>
      <c r="Q48" s="86"/>
      <c r="R48" s="86"/>
      <c r="S48" s="86"/>
      <c r="T48" s="86"/>
      <c r="U48" s="86"/>
      <c r="V48" s="86"/>
      <c r="W48" s="86"/>
      <c r="X48" s="86"/>
      <c r="Y48" s="86"/>
      <c r="Z48" s="86"/>
      <c r="AA48" s="86"/>
      <c r="AB48" s="86"/>
    </row>
    <row r="49" spans="1:121">
      <c r="A49" s="55"/>
      <c r="B49" s="350"/>
      <c r="C49" s="94"/>
      <c r="D49" s="106"/>
      <c r="E49" s="101"/>
      <c r="F49" s="101"/>
      <c r="G49" s="101"/>
      <c r="H49" s="98"/>
      <c r="I49" s="346"/>
      <c r="J49" s="86"/>
      <c r="K49" s="86"/>
      <c r="L49" s="90"/>
      <c r="M49" s="85"/>
      <c r="N49" s="86"/>
      <c r="O49" s="86"/>
      <c r="P49" s="86"/>
      <c r="Q49" s="86"/>
      <c r="R49" s="86"/>
      <c r="S49" s="86"/>
      <c r="T49" s="86"/>
      <c r="U49" s="86"/>
      <c r="V49" s="86"/>
      <c r="W49" s="86"/>
      <c r="X49" s="86"/>
      <c r="Y49" s="86"/>
      <c r="Z49" s="86"/>
      <c r="AA49" s="86"/>
      <c r="AB49" s="86"/>
    </row>
    <row r="50" spans="1:121">
      <c r="A50" s="55"/>
      <c r="B50" s="350" t="s">
        <v>312</v>
      </c>
      <c r="C50" s="94" t="s">
        <v>313</v>
      </c>
      <c r="D50" s="85" t="s">
        <v>517</v>
      </c>
      <c r="E50" s="101" t="s">
        <v>13</v>
      </c>
      <c r="F50" s="101" t="s">
        <v>314</v>
      </c>
      <c r="G50" s="101"/>
      <c r="H50" s="98">
        <v>100</v>
      </c>
      <c r="I50" s="346"/>
      <c r="J50" s="86"/>
      <c r="K50" s="86"/>
      <c r="L50" s="90"/>
      <c r="M50" s="85"/>
      <c r="N50" s="86"/>
      <c r="O50" s="86"/>
      <c r="P50" s="86"/>
      <c r="Q50" s="86"/>
      <c r="R50" s="86"/>
      <c r="S50" s="86"/>
      <c r="T50" s="86"/>
      <c r="U50" s="86"/>
      <c r="V50" s="86"/>
      <c r="W50" s="86"/>
      <c r="X50" s="86"/>
      <c r="Y50" s="86"/>
      <c r="Z50" s="86"/>
      <c r="AA50" s="86"/>
      <c r="AB50" s="86"/>
    </row>
    <row r="51" spans="1:121" ht="13.2" thickBot="1">
      <c r="A51" s="55"/>
      <c r="B51" s="351"/>
      <c r="C51" s="352"/>
      <c r="D51" s="434"/>
      <c r="E51" s="354"/>
      <c r="F51" s="354"/>
      <c r="G51" s="354"/>
      <c r="H51" s="355"/>
      <c r="I51" s="356"/>
      <c r="J51" s="86"/>
      <c r="K51" s="86"/>
      <c r="L51" s="90"/>
      <c r="M51" s="85"/>
      <c r="N51" s="86"/>
      <c r="O51" s="86"/>
      <c r="P51" s="86"/>
      <c r="Q51" s="86"/>
      <c r="R51" s="86"/>
      <c r="S51" s="86"/>
      <c r="T51" s="86"/>
      <c r="U51" s="86"/>
      <c r="V51" s="86"/>
      <c r="W51" s="86"/>
      <c r="X51" s="86"/>
      <c r="Y51" s="86"/>
      <c r="Z51" s="86"/>
      <c r="AA51" s="86"/>
      <c r="AB51" s="86"/>
    </row>
    <row r="52" spans="1:121">
      <c r="A52" s="55"/>
      <c r="B52" s="99"/>
      <c r="C52" s="94"/>
      <c r="D52" s="85"/>
      <c r="E52" s="101"/>
      <c r="F52" s="101"/>
      <c r="G52" s="101"/>
      <c r="H52" s="98"/>
      <c r="I52" s="161"/>
      <c r="J52" s="86"/>
      <c r="K52" s="86"/>
      <c r="L52" s="90"/>
      <c r="M52" s="85"/>
      <c r="N52" s="86"/>
      <c r="O52" s="86"/>
      <c r="P52" s="86"/>
      <c r="Q52" s="86"/>
      <c r="R52" s="86"/>
      <c r="S52" s="86"/>
      <c r="T52" s="86"/>
      <c r="U52" s="86"/>
      <c r="V52" s="86"/>
      <c r="W52" s="86"/>
      <c r="X52" s="86"/>
      <c r="Y52" s="86"/>
      <c r="Z52" s="86"/>
      <c r="AA52" s="86"/>
      <c r="AB52" s="86"/>
    </row>
    <row r="53" spans="1:121">
      <c r="A53" s="55"/>
      <c r="B53" s="84" t="s">
        <v>328</v>
      </c>
      <c r="C53" s="109"/>
      <c r="D53" s="86"/>
      <c r="E53" s="312"/>
      <c r="F53" s="101"/>
      <c r="G53" s="101"/>
      <c r="H53" s="98"/>
      <c r="I53" s="161"/>
      <c r="J53" s="86"/>
      <c r="K53" s="86"/>
      <c r="L53" s="90"/>
      <c r="M53" s="85"/>
      <c r="N53" s="86"/>
      <c r="O53" s="86"/>
      <c r="P53" s="86"/>
      <c r="Q53" s="86"/>
      <c r="R53" s="86"/>
      <c r="S53" s="86"/>
      <c r="T53" s="86"/>
      <c r="U53" s="86"/>
      <c r="V53" s="86"/>
      <c r="W53" s="86"/>
      <c r="X53" s="86"/>
      <c r="Y53" s="86"/>
      <c r="Z53" s="86"/>
      <c r="AA53" s="86"/>
      <c r="AB53" s="86"/>
    </row>
    <row r="54" spans="1:121" ht="15">
      <c r="A54" s="55"/>
      <c r="B54" s="296" t="s">
        <v>326</v>
      </c>
      <c r="C54" s="297" t="s">
        <v>135</v>
      </c>
      <c r="D54" s="93" t="s">
        <v>329</v>
      </c>
      <c r="E54" s="312" t="s">
        <v>13</v>
      </c>
      <c r="F54" s="101" t="s">
        <v>5</v>
      </c>
      <c r="G54" s="101"/>
      <c r="H54" s="98">
        <v>1</v>
      </c>
      <c r="I54" s="161"/>
      <c r="J54" s="86"/>
      <c r="K54" s="86"/>
      <c r="L54" s="90"/>
      <c r="M54" s="85"/>
      <c r="N54" s="86"/>
      <c r="O54" s="86"/>
      <c r="P54" s="86"/>
      <c r="Q54" s="86"/>
      <c r="R54" s="86"/>
      <c r="S54" s="86"/>
      <c r="T54" s="86"/>
      <c r="U54" s="86"/>
      <c r="V54" s="86"/>
      <c r="W54" s="86"/>
      <c r="X54" s="86"/>
      <c r="Y54" s="86"/>
      <c r="Z54" s="86"/>
      <c r="AA54" s="86"/>
      <c r="AB54" s="86"/>
    </row>
    <row r="55" spans="1:121" ht="15">
      <c r="A55" s="55"/>
      <c r="B55" s="296" t="s">
        <v>327</v>
      </c>
      <c r="C55" s="295" t="s">
        <v>136</v>
      </c>
      <c r="D55" s="93" t="s">
        <v>329</v>
      </c>
      <c r="E55" s="312" t="s">
        <v>13</v>
      </c>
      <c r="F55" s="101" t="s">
        <v>5</v>
      </c>
      <c r="G55" s="101"/>
      <c r="H55" s="98">
        <v>1</v>
      </c>
      <c r="I55" s="161"/>
      <c r="J55" s="86"/>
      <c r="K55" s="86"/>
      <c r="L55" s="90"/>
      <c r="M55" s="85"/>
      <c r="N55" s="86"/>
      <c r="O55" s="86"/>
      <c r="P55" s="86"/>
      <c r="Q55" s="86"/>
      <c r="R55" s="86"/>
      <c r="S55" s="86"/>
      <c r="T55" s="86"/>
      <c r="U55" s="86"/>
      <c r="V55" s="86"/>
      <c r="W55" s="86"/>
      <c r="X55" s="86"/>
      <c r="Y55" s="86"/>
      <c r="Z55" s="86"/>
      <c r="AA55" s="86"/>
      <c r="AB55" s="86"/>
    </row>
    <row r="56" spans="1:121">
      <c r="A56" s="55"/>
      <c r="B56" s="84"/>
      <c r="C56" s="84"/>
      <c r="D56" s="94"/>
      <c r="E56" s="290"/>
      <c r="F56" s="101"/>
      <c r="G56" s="101"/>
      <c r="H56" s="98"/>
      <c r="I56" s="161"/>
      <c r="J56" s="86"/>
      <c r="K56" s="86"/>
      <c r="L56" s="90"/>
      <c r="M56" s="85"/>
      <c r="N56" s="86"/>
      <c r="O56" s="86"/>
      <c r="P56" s="86"/>
      <c r="Q56" s="86"/>
      <c r="R56" s="86"/>
      <c r="S56" s="86"/>
      <c r="T56" s="86"/>
      <c r="U56" s="86"/>
      <c r="V56" s="86"/>
      <c r="W56" s="86"/>
      <c r="X56" s="86"/>
      <c r="Y56" s="86"/>
      <c r="Z56" s="86"/>
      <c r="AA56" s="86"/>
      <c r="AB56" s="86"/>
    </row>
    <row r="57" spans="1:121" ht="25.2">
      <c r="A57" s="55"/>
      <c r="B57" s="99" t="s">
        <v>337</v>
      </c>
      <c r="C57" s="228" t="s">
        <v>342</v>
      </c>
      <c r="D57" s="94"/>
      <c r="E57" s="101" t="s">
        <v>13</v>
      </c>
      <c r="F57" s="101" t="s">
        <v>90</v>
      </c>
      <c r="G57" s="101"/>
      <c r="H57" s="98">
        <v>1</v>
      </c>
      <c r="I57" s="161"/>
      <c r="J57" s="86"/>
      <c r="K57" s="86"/>
      <c r="L57" s="90"/>
      <c r="M57" s="85"/>
      <c r="N57" s="86"/>
      <c r="O57" s="86"/>
      <c r="P57" s="86"/>
      <c r="Q57" s="86"/>
      <c r="R57" s="86"/>
      <c r="S57" s="86"/>
      <c r="T57" s="86"/>
      <c r="U57" s="86"/>
      <c r="V57" s="86"/>
      <c r="W57" s="86"/>
      <c r="X57" s="86"/>
      <c r="Y57" s="86"/>
      <c r="Z57" s="86"/>
      <c r="AA57" s="86"/>
      <c r="AB57" s="86"/>
    </row>
    <row r="58" spans="1:121">
      <c r="A58" s="55"/>
      <c r="B58" s="84"/>
      <c r="C58" s="84"/>
      <c r="D58" s="94"/>
      <c r="E58" s="290"/>
      <c r="F58" s="101"/>
      <c r="G58" s="101"/>
      <c r="H58" s="98"/>
      <c r="I58" s="161"/>
      <c r="J58" s="86"/>
      <c r="K58" s="86"/>
      <c r="L58" s="90"/>
      <c r="M58" s="85"/>
      <c r="N58" s="86"/>
      <c r="O58" s="86"/>
      <c r="P58" s="86"/>
      <c r="Q58" s="86"/>
      <c r="R58" s="86"/>
      <c r="S58" s="86"/>
      <c r="T58" s="86"/>
      <c r="U58" s="86"/>
      <c r="V58" s="86"/>
      <c r="W58" s="86"/>
      <c r="X58" s="86"/>
      <c r="Y58" s="86"/>
      <c r="Z58" s="86"/>
      <c r="AA58" s="86"/>
      <c r="AB58" s="86"/>
    </row>
    <row r="59" spans="1:121" ht="25.2">
      <c r="A59" s="55"/>
      <c r="B59" s="99" t="s">
        <v>331</v>
      </c>
      <c r="C59" s="100" t="s">
        <v>330</v>
      </c>
      <c r="D59" s="94" t="s">
        <v>329</v>
      </c>
      <c r="E59" s="312" t="s">
        <v>13</v>
      </c>
      <c r="F59" s="101" t="s">
        <v>5</v>
      </c>
      <c r="G59" s="101"/>
      <c r="H59" s="98">
        <v>365</v>
      </c>
      <c r="I59" s="161"/>
      <c r="J59" s="86"/>
      <c r="K59" s="86"/>
      <c r="L59" s="90"/>
      <c r="M59" s="85"/>
      <c r="N59" s="86"/>
      <c r="O59" s="86"/>
      <c r="P59" s="86"/>
      <c r="Q59" s="86"/>
      <c r="R59" s="86"/>
      <c r="S59" s="86"/>
      <c r="T59" s="86"/>
      <c r="U59" s="86"/>
      <c r="V59" s="86"/>
      <c r="W59" s="86"/>
      <c r="X59" s="86"/>
      <c r="Y59" s="86"/>
      <c r="Z59" s="86"/>
      <c r="AA59" s="86"/>
      <c r="AB59" s="86"/>
    </row>
    <row r="60" spans="1:121" ht="3" customHeight="1">
      <c r="A60" s="55"/>
      <c r="B60" s="99"/>
      <c r="C60" s="94"/>
      <c r="D60" s="85"/>
      <c r="E60" s="101"/>
      <c r="F60" s="101"/>
      <c r="G60" s="101"/>
      <c r="H60" s="98"/>
      <c r="I60" s="161"/>
      <c r="J60" s="86"/>
      <c r="K60" s="86"/>
      <c r="L60" s="90"/>
      <c r="M60" s="85"/>
      <c r="N60" s="86"/>
      <c r="O60" s="86"/>
      <c r="P60" s="86"/>
      <c r="Q60" s="86"/>
      <c r="R60" s="86"/>
      <c r="S60" s="86"/>
      <c r="T60" s="86"/>
      <c r="U60" s="86"/>
      <c r="V60" s="86"/>
      <c r="W60" s="86"/>
      <c r="X60" s="86"/>
      <c r="Y60" s="86"/>
      <c r="Z60" s="86"/>
      <c r="AA60" s="86"/>
      <c r="AB60" s="86"/>
    </row>
    <row r="61" spans="1:121">
      <c r="A61" s="55"/>
      <c r="B61" s="99" t="s">
        <v>306</v>
      </c>
      <c r="C61" s="94" t="s">
        <v>70</v>
      </c>
      <c r="D61" s="94" t="s">
        <v>329</v>
      </c>
      <c r="E61" s="312" t="s">
        <v>13</v>
      </c>
      <c r="F61" s="101" t="s">
        <v>10</v>
      </c>
      <c r="G61" s="101"/>
      <c r="H61" s="98">
        <v>1</v>
      </c>
      <c r="I61" s="161"/>
      <c r="J61" s="86"/>
      <c r="K61" s="86"/>
      <c r="L61" s="90"/>
      <c r="M61" s="85"/>
      <c r="N61" s="86"/>
      <c r="O61" s="86"/>
      <c r="P61" s="86"/>
      <c r="Q61" s="86"/>
      <c r="R61" s="86"/>
      <c r="S61" s="86"/>
      <c r="T61" s="86"/>
      <c r="U61" s="86"/>
      <c r="V61" s="86"/>
      <c r="W61" s="86"/>
      <c r="X61" s="86"/>
      <c r="Y61" s="86"/>
      <c r="Z61" s="86"/>
      <c r="AA61" s="86"/>
      <c r="AB61" s="86"/>
    </row>
    <row r="62" spans="1:121">
      <c r="A62" s="55"/>
      <c r="B62" s="99"/>
      <c r="C62" s="94"/>
      <c r="D62" s="85"/>
      <c r="E62" s="101"/>
      <c r="F62" s="101"/>
      <c r="G62" s="101"/>
      <c r="H62" s="98"/>
      <c r="I62" s="161"/>
      <c r="J62" s="86"/>
      <c r="K62" s="86"/>
      <c r="L62" s="90"/>
      <c r="M62" s="85"/>
      <c r="N62" s="86"/>
      <c r="O62" s="86"/>
      <c r="P62" s="86"/>
      <c r="Q62" s="86"/>
      <c r="R62" s="86"/>
      <c r="S62" s="86"/>
      <c r="T62" s="86"/>
      <c r="U62" s="86"/>
      <c r="V62" s="86"/>
      <c r="W62" s="86"/>
      <c r="X62" s="86"/>
      <c r="Y62" s="86"/>
      <c r="Z62" s="86"/>
      <c r="AA62" s="86"/>
      <c r="AB62" s="86"/>
    </row>
    <row r="63" spans="1:121" s="54" customFormat="1">
      <c r="A63" s="55"/>
      <c r="B63" s="93" t="s">
        <v>405</v>
      </c>
      <c r="C63" s="84" t="s">
        <v>42</v>
      </c>
      <c r="D63" s="94" t="s">
        <v>329</v>
      </c>
      <c r="E63" s="92" t="s">
        <v>13</v>
      </c>
      <c r="F63" s="101" t="s">
        <v>5</v>
      </c>
      <c r="G63" s="92"/>
      <c r="H63" s="92">
        <v>4</v>
      </c>
      <c r="I63" s="85"/>
      <c r="J63" s="85"/>
      <c r="K63" s="85"/>
      <c r="L63" s="85"/>
      <c r="M63" s="85"/>
      <c r="N63" s="86"/>
      <c r="O63" s="86"/>
      <c r="P63" s="86"/>
      <c r="Q63" s="86"/>
      <c r="R63" s="86"/>
      <c r="S63" s="86"/>
      <c r="T63" s="86"/>
      <c r="U63" s="86"/>
      <c r="V63" s="86"/>
      <c r="W63" s="86"/>
      <c r="X63" s="86"/>
      <c r="Y63" s="86"/>
      <c r="Z63" s="86"/>
      <c r="AA63" s="86"/>
      <c r="AB63" s="86"/>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8"/>
      <c r="DQ63" s="58"/>
    </row>
    <row r="64" spans="1:121" s="54" customFormat="1" ht="3" customHeight="1">
      <c r="A64" s="55"/>
      <c r="B64" s="93"/>
      <c r="C64" s="84"/>
      <c r="D64" s="94"/>
      <c r="E64" s="92"/>
      <c r="F64" s="101"/>
      <c r="G64" s="92"/>
      <c r="H64" s="92"/>
      <c r="I64" s="85"/>
      <c r="J64" s="85"/>
      <c r="K64" s="85"/>
      <c r="L64" s="85"/>
      <c r="M64" s="85"/>
      <c r="N64" s="86"/>
      <c r="O64" s="86"/>
      <c r="P64" s="86"/>
      <c r="Q64" s="86"/>
      <c r="R64" s="86"/>
      <c r="S64" s="86"/>
      <c r="T64" s="86"/>
      <c r="U64" s="86"/>
      <c r="V64" s="86"/>
      <c r="W64" s="86"/>
      <c r="X64" s="86"/>
      <c r="Y64" s="86"/>
      <c r="Z64" s="86"/>
      <c r="AA64" s="86"/>
      <c r="AB64" s="86"/>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8"/>
      <c r="DQ64" s="58"/>
    </row>
    <row r="65" spans="1:121" s="54" customFormat="1">
      <c r="A65" s="55"/>
      <c r="B65" s="93" t="s">
        <v>406</v>
      </c>
      <c r="C65" s="84" t="s">
        <v>43</v>
      </c>
      <c r="D65" s="94" t="s">
        <v>329</v>
      </c>
      <c r="E65" s="92" t="s">
        <v>13</v>
      </c>
      <c r="F65" s="101" t="s">
        <v>5</v>
      </c>
      <c r="G65" s="92"/>
      <c r="H65" s="92">
        <v>1</v>
      </c>
      <c r="I65" s="85"/>
      <c r="J65" s="85"/>
      <c r="K65" s="85"/>
      <c r="L65" s="85"/>
      <c r="M65" s="85"/>
      <c r="N65" s="86"/>
      <c r="O65" s="86"/>
      <c r="P65" s="86"/>
      <c r="Q65" s="86"/>
      <c r="R65" s="86"/>
      <c r="S65" s="86"/>
      <c r="T65" s="86"/>
      <c r="U65" s="86"/>
      <c r="V65" s="86"/>
      <c r="W65" s="86"/>
      <c r="X65" s="86"/>
      <c r="Y65" s="86"/>
      <c r="Z65" s="86"/>
      <c r="AA65" s="86"/>
      <c r="AB65" s="86"/>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8"/>
      <c r="DQ65" s="58"/>
    </row>
    <row r="66" spans="1:121" s="54" customFormat="1" ht="5.0999999999999996" customHeight="1">
      <c r="A66" s="55"/>
      <c r="B66" s="93"/>
      <c r="C66" s="84"/>
      <c r="D66" s="94"/>
      <c r="E66" s="92"/>
      <c r="F66" s="101"/>
      <c r="G66" s="92"/>
      <c r="H66" s="92"/>
      <c r="I66" s="85"/>
      <c r="J66" s="85"/>
      <c r="K66" s="85"/>
      <c r="L66" s="85"/>
      <c r="M66" s="85"/>
      <c r="N66" s="86"/>
      <c r="O66" s="86"/>
      <c r="P66" s="86"/>
      <c r="Q66" s="86"/>
      <c r="R66" s="86"/>
      <c r="S66" s="86"/>
      <c r="T66" s="86"/>
      <c r="U66" s="86"/>
      <c r="V66" s="86"/>
      <c r="W66" s="86"/>
      <c r="X66" s="86"/>
      <c r="Y66" s="86"/>
      <c r="Z66" s="86"/>
      <c r="AA66" s="86"/>
      <c r="AB66" s="86"/>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8"/>
      <c r="DQ66" s="58"/>
    </row>
    <row r="67" spans="1:121" s="54" customFormat="1">
      <c r="A67" s="55"/>
      <c r="B67" s="99" t="s">
        <v>184</v>
      </c>
      <c r="C67" s="94" t="s">
        <v>110</v>
      </c>
      <c r="D67" s="94" t="s">
        <v>522</v>
      </c>
      <c r="E67" s="101" t="s">
        <v>69</v>
      </c>
      <c r="F67" s="101" t="s">
        <v>5</v>
      </c>
      <c r="G67" s="101"/>
      <c r="H67" s="141">
        <f>10*Nlapp_arab</f>
        <v>10</v>
      </c>
      <c r="I67" s="85"/>
      <c r="J67" s="85"/>
      <c r="K67" s="85"/>
      <c r="L67" s="85"/>
      <c r="M67" s="85"/>
      <c r="N67" s="86"/>
      <c r="O67" s="86"/>
      <c r="P67" s="86"/>
      <c r="Q67" s="86"/>
      <c r="R67" s="86"/>
      <c r="S67" s="86"/>
      <c r="T67" s="86"/>
      <c r="U67" s="86"/>
      <c r="V67" s="86"/>
      <c r="W67" s="86"/>
      <c r="X67" s="86"/>
      <c r="Y67" s="86"/>
      <c r="Z67" s="86"/>
      <c r="AA67" s="86"/>
      <c r="AB67" s="86"/>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8"/>
      <c r="DQ67" s="58"/>
    </row>
    <row r="68" spans="1:121" s="54" customFormat="1" ht="3" customHeight="1">
      <c r="A68" s="55"/>
      <c r="B68" s="100"/>
      <c r="C68" s="94"/>
      <c r="D68" s="94"/>
      <c r="E68" s="105"/>
      <c r="F68" s="101"/>
      <c r="G68" s="101"/>
      <c r="H68" s="102"/>
      <c r="I68" s="85"/>
      <c r="J68" s="85"/>
      <c r="K68" s="85"/>
      <c r="L68" s="85"/>
      <c r="M68" s="85"/>
      <c r="N68" s="86"/>
      <c r="O68" s="86"/>
      <c r="P68" s="86"/>
      <c r="Q68" s="86"/>
      <c r="R68" s="86"/>
      <c r="S68" s="86"/>
      <c r="T68" s="86"/>
      <c r="U68" s="86"/>
      <c r="V68" s="86"/>
      <c r="W68" s="86"/>
      <c r="X68" s="86"/>
      <c r="Y68" s="86"/>
      <c r="Z68" s="86"/>
      <c r="AA68" s="86"/>
      <c r="AB68" s="86"/>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8"/>
      <c r="DQ68" s="58"/>
    </row>
    <row r="69" spans="1:121" s="54" customFormat="1">
      <c r="A69" s="55"/>
      <c r="B69" s="99" t="s">
        <v>182</v>
      </c>
      <c r="C69" s="94" t="s">
        <v>44</v>
      </c>
      <c r="D69" s="94"/>
      <c r="E69" s="101" t="s">
        <v>13</v>
      </c>
      <c r="F69" s="101" t="s">
        <v>10</v>
      </c>
      <c r="G69" s="101"/>
      <c r="H69" s="145">
        <v>53</v>
      </c>
      <c r="I69" s="103"/>
      <c r="J69" s="85"/>
      <c r="K69" s="85"/>
      <c r="L69" s="85"/>
      <c r="M69" s="85"/>
      <c r="N69" s="86"/>
      <c r="O69" s="86"/>
      <c r="P69" s="86"/>
      <c r="Q69" s="86"/>
      <c r="R69" s="86"/>
      <c r="S69" s="86"/>
      <c r="T69" s="86"/>
      <c r="U69" s="86"/>
      <c r="V69" s="86"/>
      <c r="W69" s="86"/>
      <c r="X69" s="86"/>
      <c r="Y69" s="86"/>
      <c r="Z69" s="86"/>
      <c r="AA69" s="86"/>
      <c r="AB69" s="86"/>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8"/>
      <c r="DQ69" s="58"/>
    </row>
    <row r="70" spans="1:121" s="54" customFormat="1" ht="3" customHeight="1">
      <c r="A70" s="55"/>
      <c r="B70" s="99"/>
      <c r="C70" s="94"/>
      <c r="D70" s="94"/>
      <c r="E70" s="101"/>
      <c r="F70" s="101"/>
      <c r="G70" s="101"/>
      <c r="H70" s="145"/>
      <c r="I70" s="103"/>
      <c r="J70" s="85"/>
      <c r="K70" s="85"/>
      <c r="L70" s="85"/>
      <c r="M70" s="85"/>
      <c r="N70" s="86"/>
      <c r="O70" s="86"/>
      <c r="P70" s="86"/>
      <c r="Q70" s="86"/>
      <c r="R70" s="86"/>
      <c r="S70" s="86"/>
      <c r="T70" s="86"/>
      <c r="U70" s="86"/>
      <c r="V70" s="86"/>
      <c r="W70" s="86"/>
      <c r="X70" s="86"/>
      <c r="Y70" s="86"/>
      <c r="Z70" s="86"/>
      <c r="AA70" s="86"/>
      <c r="AB70" s="86"/>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8"/>
      <c r="DQ70" s="58"/>
    </row>
    <row r="71" spans="1:121" s="54" customFormat="1">
      <c r="A71" s="55"/>
      <c r="B71" s="99" t="s">
        <v>183</v>
      </c>
      <c r="C71" s="94" t="s">
        <v>153</v>
      </c>
      <c r="D71" s="94" t="s">
        <v>522</v>
      </c>
      <c r="E71" s="101" t="s">
        <v>13</v>
      </c>
      <c r="F71" s="101" t="s">
        <v>10</v>
      </c>
      <c r="G71" s="101"/>
      <c r="H71" s="145">
        <v>365</v>
      </c>
      <c r="I71" s="103"/>
      <c r="J71" s="85"/>
      <c r="K71" s="85"/>
      <c r="L71" s="85"/>
      <c r="M71" s="85"/>
      <c r="N71" s="86"/>
      <c r="O71" s="86"/>
      <c r="P71" s="86"/>
      <c r="Q71" s="86"/>
      <c r="R71" s="86"/>
      <c r="S71" s="86"/>
      <c r="T71" s="86"/>
      <c r="U71" s="86"/>
      <c r="V71" s="86"/>
      <c r="W71" s="86"/>
      <c r="X71" s="86"/>
      <c r="Y71" s="86"/>
      <c r="Z71" s="86"/>
      <c r="AA71" s="86"/>
      <c r="AB71" s="86"/>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8"/>
      <c r="DQ71" s="58"/>
    </row>
    <row r="72" spans="1:121" s="54" customFormat="1" ht="3" customHeight="1">
      <c r="A72" s="55"/>
      <c r="B72" s="99"/>
      <c r="C72" s="94"/>
      <c r="D72" s="94"/>
      <c r="E72" s="101"/>
      <c r="F72" s="101"/>
      <c r="G72" s="101"/>
      <c r="H72" s="101"/>
      <c r="I72" s="85"/>
      <c r="J72" s="85"/>
      <c r="K72" s="85"/>
      <c r="L72" s="85"/>
      <c r="M72" s="85"/>
      <c r="N72" s="86"/>
      <c r="O72" s="86"/>
      <c r="P72" s="86"/>
      <c r="Q72" s="86"/>
      <c r="R72" s="86"/>
      <c r="S72" s="86"/>
      <c r="T72" s="86"/>
      <c r="U72" s="86"/>
      <c r="V72" s="86"/>
      <c r="W72" s="86"/>
      <c r="X72" s="86"/>
      <c r="Y72" s="86"/>
      <c r="Z72" s="86"/>
      <c r="AA72" s="86"/>
      <c r="AB72" s="86"/>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8"/>
      <c r="DQ72" s="58"/>
    </row>
    <row r="73" spans="1:121" s="54" customFormat="1" ht="17.25" customHeight="1">
      <c r="A73" s="55"/>
      <c r="B73" s="99" t="s">
        <v>76</v>
      </c>
      <c r="C73" s="94" t="s">
        <v>168</v>
      </c>
      <c r="D73" s="94" t="s">
        <v>395</v>
      </c>
      <c r="E73" s="92" t="s">
        <v>13</v>
      </c>
      <c r="F73" s="101" t="s">
        <v>116</v>
      </c>
      <c r="G73" s="92"/>
      <c r="H73" s="92">
        <v>1700</v>
      </c>
      <c r="I73" s="85"/>
      <c r="J73" s="85"/>
      <c r="K73" s="85"/>
      <c r="L73" s="85"/>
      <c r="M73" s="85"/>
      <c r="N73" s="86"/>
      <c r="O73" s="86"/>
      <c r="P73" s="86"/>
      <c r="Q73" s="86"/>
      <c r="R73" s="86"/>
      <c r="S73" s="86"/>
      <c r="T73" s="86"/>
      <c r="U73" s="86"/>
      <c r="V73" s="86"/>
      <c r="W73" s="86"/>
      <c r="X73" s="86"/>
      <c r="Y73" s="86"/>
      <c r="Z73" s="86"/>
      <c r="AA73" s="86"/>
      <c r="AB73" s="86"/>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8"/>
      <c r="DQ73" s="58"/>
    </row>
    <row r="74" spans="1:121" s="54" customFormat="1" ht="3" customHeight="1">
      <c r="A74" s="55"/>
      <c r="B74" s="99"/>
      <c r="C74" s="94"/>
      <c r="D74" s="84"/>
      <c r="E74" s="92"/>
      <c r="F74" s="101"/>
      <c r="G74" s="92"/>
      <c r="H74" s="92"/>
      <c r="I74" s="85"/>
      <c r="J74" s="85"/>
      <c r="K74" s="85"/>
      <c r="L74" s="85"/>
      <c r="M74" s="85"/>
      <c r="N74" s="86"/>
      <c r="O74" s="86"/>
      <c r="P74" s="86"/>
      <c r="Q74" s="86"/>
      <c r="R74" s="86"/>
      <c r="S74" s="86"/>
      <c r="T74" s="86"/>
      <c r="U74" s="86"/>
      <c r="V74" s="86"/>
      <c r="W74" s="86"/>
      <c r="X74" s="86"/>
      <c r="Y74" s="86"/>
      <c r="Z74" s="86"/>
      <c r="AA74" s="86"/>
      <c r="AB74" s="86"/>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8"/>
      <c r="DQ74" s="58"/>
    </row>
    <row r="75" spans="1:121" s="54" customFormat="1" ht="15">
      <c r="A75" s="55"/>
      <c r="B75" s="99" t="s">
        <v>165</v>
      </c>
      <c r="C75" s="94" t="s">
        <v>169</v>
      </c>
      <c r="D75" s="94" t="s">
        <v>395</v>
      </c>
      <c r="E75" s="92" t="s">
        <v>13</v>
      </c>
      <c r="F75" s="101" t="s">
        <v>116</v>
      </c>
      <c r="G75" s="92"/>
      <c r="H75" s="92">
        <v>1150</v>
      </c>
      <c r="I75" s="85"/>
      <c r="J75" s="85"/>
      <c r="K75" s="85"/>
      <c r="L75" s="85"/>
      <c r="M75" s="85"/>
      <c r="N75" s="86"/>
      <c r="O75" s="86"/>
      <c r="P75" s="86"/>
      <c r="Q75" s="86"/>
      <c r="R75" s="86"/>
      <c r="S75" s="86"/>
      <c r="T75" s="86"/>
      <c r="U75" s="86"/>
      <c r="V75" s="86"/>
      <c r="W75" s="86"/>
      <c r="X75" s="86"/>
      <c r="Y75" s="86"/>
      <c r="Z75" s="86"/>
      <c r="AA75" s="86"/>
      <c r="AB75" s="86"/>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8"/>
      <c r="DQ75" s="58"/>
    </row>
    <row r="76" spans="1:121" s="54" customFormat="1" ht="3" customHeight="1">
      <c r="A76" s="55"/>
      <c r="B76" s="99"/>
      <c r="C76" s="94"/>
      <c r="D76" s="84"/>
      <c r="E76" s="92"/>
      <c r="F76" s="101"/>
      <c r="G76" s="92"/>
      <c r="H76" s="92"/>
      <c r="I76" s="85"/>
      <c r="J76" s="85"/>
      <c r="K76" s="85"/>
      <c r="L76" s="85"/>
      <c r="M76" s="85"/>
      <c r="N76" s="86"/>
      <c r="O76" s="86"/>
      <c r="P76" s="86"/>
      <c r="Q76" s="86"/>
      <c r="R76" s="86"/>
      <c r="S76" s="86"/>
      <c r="T76" s="86"/>
      <c r="U76" s="86"/>
      <c r="V76" s="86"/>
      <c r="W76" s="86"/>
      <c r="X76" s="86"/>
      <c r="Y76" s="86"/>
      <c r="Z76" s="86"/>
      <c r="AA76" s="86"/>
      <c r="AB76" s="86"/>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8"/>
      <c r="DQ76" s="58"/>
    </row>
    <row r="77" spans="1:121" s="54" customFormat="1" ht="15">
      <c r="A77" s="55"/>
      <c r="B77" s="99" t="s">
        <v>80</v>
      </c>
      <c r="C77" s="106" t="s">
        <v>170</v>
      </c>
      <c r="D77" s="86" t="s">
        <v>475</v>
      </c>
      <c r="E77" s="92" t="s">
        <v>6</v>
      </c>
      <c r="F77" s="101" t="s">
        <v>172</v>
      </c>
      <c r="G77" s="92"/>
      <c r="H77" s="95"/>
      <c r="I77" s="85"/>
      <c r="J77" s="85"/>
      <c r="K77" s="85"/>
      <c r="L77" s="85"/>
      <c r="M77" s="85"/>
      <c r="N77" s="86"/>
      <c r="O77" s="86"/>
      <c r="P77" s="86"/>
      <c r="Q77" s="86"/>
      <c r="R77" s="86"/>
      <c r="S77" s="86"/>
      <c r="T77" s="86"/>
      <c r="U77" s="86"/>
      <c r="V77" s="86"/>
      <c r="W77" s="86"/>
      <c r="X77" s="86"/>
      <c r="Y77" s="86"/>
      <c r="Z77" s="86"/>
      <c r="AA77" s="86"/>
      <c r="AB77" s="86"/>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8"/>
      <c r="DQ77" s="58"/>
    </row>
    <row r="78" spans="1:121" s="52" customFormat="1" ht="3" customHeight="1">
      <c r="A78" s="55"/>
      <c r="B78" s="99"/>
      <c r="C78" s="106"/>
      <c r="D78" s="86"/>
      <c r="E78" s="83"/>
      <c r="F78" s="101"/>
      <c r="G78" s="83"/>
      <c r="H78" s="83"/>
      <c r="I78" s="86"/>
      <c r="J78" s="86"/>
      <c r="K78" s="86"/>
      <c r="L78" s="86"/>
      <c r="M78" s="85"/>
      <c r="N78" s="86"/>
      <c r="O78" s="86"/>
      <c r="P78" s="86"/>
      <c r="Q78" s="86"/>
      <c r="R78" s="86"/>
      <c r="S78" s="86"/>
      <c r="T78" s="86"/>
      <c r="U78" s="86"/>
      <c r="V78" s="86"/>
      <c r="W78" s="86"/>
      <c r="X78" s="86"/>
      <c r="Y78" s="86"/>
      <c r="Z78" s="86"/>
      <c r="AA78" s="86"/>
      <c r="AB78" s="86"/>
      <c r="DP78" s="58"/>
      <c r="DQ78" s="58"/>
    </row>
    <row r="79" spans="1:121" s="52" customFormat="1" ht="13.8">
      <c r="A79" s="55"/>
      <c r="B79" s="99" t="s">
        <v>154</v>
      </c>
      <c r="C79" s="106" t="s">
        <v>155</v>
      </c>
      <c r="D79" s="86" t="s">
        <v>475</v>
      </c>
      <c r="E79" s="101" t="s">
        <v>6</v>
      </c>
      <c r="F79" s="101" t="s">
        <v>407</v>
      </c>
      <c r="G79" s="101"/>
      <c r="H79" s="95"/>
      <c r="I79" s="86"/>
      <c r="J79" s="86"/>
      <c r="K79" s="86"/>
      <c r="L79" s="86"/>
      <c r="M79" s="85"/>
      <c r="N79" s="86"/>
      <c r="O79" s="86"/>
      <c r="P79" s="86"/>
      <c r="Q79" s="86"/>
      <c r="R79" s="86"/>
      <c r="S79" s="86"/>
      <c r="T79" s="86"/>
      <c r="U79" s="86"/>
      <c r="V79" s="86"/>
      <c r="W79" s="86"/>
      <c r="X79" s="86"/>
      <c r="Y79" s="86"/>
      <c r="Z79" s="86"/>
      <c r="AA79" s="86"/>
      <c r="AB79" s="86"/>
      <c r="DP79" s="58"/>
      <c r="DQ79" s="58"/>
    </row>
    <row r="80" spans="1:121" s="52" customFormat="1" ht="3" customHeight="1">
      <c r="A80" s="55"/>
      <c r="B80" s="99"/>
      <c r="C80" s="106"/>
      <c r="D80" s="161"/>
      <c r="E80" s="102"/>
      <c r="F80" s="101"/>
      <c r="G80" s="102"/>
      <c r="H80" s="83"/>
      <c r="I80" s="86"/>
      <c r="J80" s="86"/>
      <c r="K80" s="86"/>
      <c r="L80" s="86"/>
      <c r="M80" s="85"/>
      <c r="N80" s="86"/>
      <c r="O80" s="86"/>
      <c r="P80" s="86"/>
      <c r="Q80" s="86"/>
      <c r="R80" s="86"/>
      <c r="S80" s="86"/>
      <c r="T80" s="86"/>
      <c r="U80" s="86"/>
      <c r="V80" s="86"/>
      <c r="W80" s="86"/>
      <c r="X80" s="86"/>
      <c r="Y80" s="86"/>
      <c r="Z80" s="86"/>
      <c r="AA80" s="86"/>
      <c r="AB80" s="86"/>
      <c r="DP80" s="58"/>
      <c r="DQ80" s="58"/>
    </row>
    <row r="81" spans="1:121" s="54" customFormat="1" ht="13.8">
      <c r="A81" s="77"/>
      <c r="B81" s="99" t="s">
        <v>164</v>
      </c>
      <c r="C81" s="106" t="s">
        <v>163</v>
      </c>
      <c r="D81" s="86" t="s">
        <v>475</v>
      </c>
      <c r="E81" s="101" t="s">
        <v>6</v>
      </c>
      <c r="F81" s="101" t="s">
        <v>172</v>
      </c>
      <c r="G81" s="101"/>
      <c r="H81" s="95"/>
      <c r="I81" s="85"/>
      <c r="J81" s="85"/>
      <c r="K81" s="85"/>
      <c r="L81" s="85"/>
      <c r="M81" s="85"/>
      <c r="N81" s="85"/>
      <c r="O81" s="85"/>
      <c r="P81" s="85"/>
      <c r="Q81" s="85"/>
      <c r="R81" s="85"/>
      <c r="S81" s="85"/>
      <c r="T81" s="85"/>
      <c r="U81" s="85"/>
      <c r="V81" s="85"/>
      <c r="W81" s="85"/>
      <c r="X81" s="85"/>
      <c r="Y81" s="85"/>
      <c r="Z81" s="85"/>
      <c r="AA81" s="85"/>
      <c r="AB81" s="85"/>
      <c r="DP81" s="176"/>
      <c r="DQ81" s="176"/>
    </row>
    <row r="82" spans="1:121" s="52" customFormat="1" ht="3" customHeight="1">
      <c r="A82" s="55"/>
      <c r="B82" s="99"/>
      <c r="C82" s="106"/>
      <c r="D82" s="83"/>
      <c r="E82" s="83"/>
      <c r="F82" s="101"/>
      <c r="G82" s="83"/>
      <c r="H82" s="83"/>
      <c r="I82" s="86"/>
      <c r="J82" s="86"/>
      <c r="K82" s="86"/>
      <c r="L82" s="86"/>
      <c r="M82" s="85"/>
      <c r="N82" s="86"/>
      <c r="O82" s="86"/>
      <c r="P82" s="86"/>
      <c r="Q82" s="86"/>
      <c r="R82" s="86"/>
      <c r="S82" s="86"/>
      <c r="T82" s="86"/>
      <c r="U82" s="86"/>
      <c r="V82" s="86"/>
      <c r="W82" s="86"/>
      <c r="X82" s="86"/>
      <c r="Y82" s="86"/>
      <c r="Z82" s="86"/>
      <c r="AA82" s="86"/>
      <c r="AB82" s="86"/>
      <c r="DP82" s="58"/>
      <c r="DQ82" s="58"/>
    </row>
    <row r="83" spans="1:121" s="52" customFormat="1" ht="13.8">
      <c r="A83" s="55"/>
      <c r="B83" s="99" t="s">
        <v>156</v>
      </c>
      <c r="C83" s="106" t="s">
        <v>157</v>
      </c>
      <c r="D83" s="106"/>
      <c r="E83" s="101" t="s">
        <v>13</v>
      </c>
      <c r="F83" s="101" t="s">
        <v>408</v>
      </c>
      <c r="G83" s="101"/>
      <c r="H83" s="92">
        <v>15</v>
      </c>
      <c r="I83" s="86"/>
      <c r="J83" s="86"/>
      <c r="K83" s="86"/>
      <c r="L83" s="86"/>
      <c r="M83" s="85"/>
      <c r="N83" s="86"/>
      <c r="O83" s="86"/>
      <c r="P83" s="86"/>
      <c r="Q83" s="86"/>
      <c r="R83" s="86"/>
      <c r="S83" s="86"/>
      <c r="T83" s="86"/>
      <c r="U83" s="86"/>
      <c r="V83" s="86"/>
      <c r="W83" s="86"/>
      <c r="X83" s="86"/>
      <c r="Y83" s="86"/>
      <c r="Z83" s="86"/>
      <c r="AA83" s="86"/>
      <c r="AB83" s="86"/>
      <c r="DP83" s="58"/>
      <c r="DQ83" s="58"/>
    </row>
    <row r="84" spans="1:121" s="52" customFormat="1" ht="3" customHeight="1">
      <c r="A84" s="55"/>
      <c r="B84" s="99"/>
      <c r="C84" s="106"/>
      <c r="D84" s="83"/>
      <c r="E84" s="83"/>
      <c r="F84" s="101"/>
      <c r="G84" s="83"/>
      <c r="H84" s="83"/>
      <c r="I84" s="86"/>
      <c r="J84" s="86"/>
      <c r="K84" s="86"/>
      <c r="L84" s="86"/>
      <c r="M84" s="85"/>
      <c r="N84" s="86"/>
      <c r="O84" s="86"/>
      <c r="P84" s="86"/>
      <c r="Q84" s="86"/>
      <c r="R84" s="86"/>
      <c r="S84" s="86"/>
      <c r="T84" s="86"/>
      <c r="U84" s="86"/>
      <c r="V84" s="86"/>
      <c r="W84" s="86"/>
      <c r="X84" s="86"/>
      <c r="Y84" s="86"/>
      <c r="Z84" s="86"/>
      <c r="AA84" s="86"/>
      <c r="AB84" s="86"/>
      <c r="DP84" s="58"/>
      <c r="DQ84" s="58"/>
    </row>
    <row r="85" spans="1:121" s="52" customFormat="1" ht="15">
      <c r="A85" s="55"/>
      <c r="B85" s="99" t="s">
        <v>87</v>
      </c>
      <c r="C85" s="93" t="s">
        <v>86</v>
      </c>
      <c r="D85" s="83" t="s">
        <v>523</v>
      </c>
      <c r="E85" s="92" t="s">
        <v>13</v>
      </c>
      <c r="F85" s="101" t="s">
        <v>5</v>
      </c>
      <c r="G85" s="101"/>
      <c r="H85" s="92">
        <v>10</v>
      </c>
      <c r="I85" s="86"/>
      <c r="J85" s="86"/>
      <c r="K85" s="86"/>
      <c r="L85" s="86"/>
      <c r="M85" s="85"/>
      <c r="N85" s="86"/>
      <c r="O85" s="86"/>
      <c r="P85" s="86"/>
      <c r="Q85" s="86"/>
      <c r="R85" s="86"/>
      <c r="S85" s="86"/>
      <c r="T85" s="86"/>
      <c r="U85" s="86"/>
      <c r="V85" s="86"/>
      <c r="W85" s="86"/>
      <c r="X85" s="86"/>
      <c r="Y85" s="86"/>
      <c r="Z85" s="86"/>
      <c r="AA85" s="86"/>
      <c r="AB85" s="86"/>
      <c r="DP85" s="58"/>
      <c r="DQ85" s="58"/>
    </row>
    <row r="86" spans="1:121" s="52" customFormat="1">
      <c r="A86" s="55"/>
      <c r="B86" s="99"/>
      <c r="C86" s="93"/>
      <c r="D86" s="83"/>
      <c r="E86" s="92"/>
      <c r="F86" s="101"/>
      <c r="G86" s="101"/>
      <c r="H86" s="86"/>
      <c r="I86" s="86"/>
      <c r="J86" s="86"/>
      <c r="K86" s="86"/>
      <c r="L86" s="86"/>
      <c r="M86" s="85"/>
      <c r="N86" s="86"/>
      <c r="O86" s="86"/>
      <c r="P86" s="86"/>
      <c r="Q86" s="86"/>
      <c r="R86" s="86"/>
      <c r="S86" s="86"/>
      <c r="T86" s="86"/>
      <c r="U86" s="86"/>
      <c r="V86" s="86"/>
      <c r="W86" s="86"/>
      <c r="X86" s="86"/>
      <c r="Y86" s="86"/>
      <c r="Z86" s="86"/>
      <c r="AA86" s="86"/>
      <c r="AB86" s="86"/>
      <c r="DP86" s="58"/>
      <c r="DQ86" s="58"/>
    </row>
    <row r="87" spans="1:121" s="52" customFormat="1">
      <c r="A87" s="55"/>
      <c r="B87" s="334" t="s">
        <v>382</v>
      </c>
      <c r="C87" s="93"/>
      <c r="D87" s="83"/>
      <c r="E87" s="92"/>
      <c r="F87" s="101"/>
      <c r="G87" s="101"/>
      <c r="H87" s="86"/>
      <c r="I87" s="86"/>
      <c r="J87" s="86"/>
      <c r="K87" s="86"/>
      <c r="L87" s="86"/>
      <c r="M87" s="85"/>
      <c r="N87" s="86"/>
      <c r="O87" s="86"/>
      <c r="P87" s="86"/>
      <c r="Q87" s="86"/>
      <c r="R87" s="86"/>
      <c r="S87" s="86"/>
      <c r="T87" s="86"/>
      <c r="U87" s="86"/>
      <c r="V87" s="86"/>
      <c r="W87" s="86"/>
      <c r="X87" s="86"/>
      <c r="Y87" s="86"/>
      <c r="Z87" s="86"/>
      <c r="AA87" s="86"/>
      <c r="AB87" s="86"/>
      <c r="DP87" s="58"/>
      <c r="DQ87" s="58"/>
    </row>
    <row r="88" spans="1:121" s="52" customFormat="1" ht="3" customHeight="1">
      <c r="A88" s="55"/>
      <c r="B88" s="334"/>
      <c r="C88" s="93"/>
      <c r="D88" s="83"/>
      <c r="E88" s="92"/>
      <c r="F88" s="101"/>
      <c r="G88" s="101"/>
      <c r="H88" s="86"/>
      <c r="I88" s="86"/>
      <c r="J88" s="86"/>
      <c r="K88" s="86"/>
      <c r="L88" s="86"/>
      <c r="M88" s="85"/>
      <c r="N88" s="86"/>
      <c r="O88" s="86"/>
      <c r="P88" s="86"/>
      <c r="Q88" s="86"/>
      <c r="R88" s="86"/>
      <c r="S88" s="86"/>
      <c r="T88" s="86"/>
      <c r="U88" s="86"/>
      <c r="V88" s="86"/>
      <c r="W88" s="86"/>
      <c r="X88" s="86"/>
      <c r="Y88" s="86"/>
      <c r="Z88" s="86"/>
      <c r="AA88" s="86"/>
      <c r="AB88" s="86"/>
      <c r="DP88" s="58"/>
      <c r="DQ88" s="58"/>
    </row>
    <row r="89" spans="1:121" s="54" customFormat="1" ht="15">
      <c r="A89" s="55"/>
      <c r="B89" s="335" t="s">
        <v>74</v>
      </c>
      <c r="C89" s="94" t="s">
        <v>166</v>
      </c>
      <c r="D89" s="94" t="s">
        <v>335</v>
      </c>
      <c r="E89" s="92" t="s">
        <v>13</v>
      </c>
      <c r="F89" s="101" t="s">
        <v>48</v>
      </c>
      <c r="G89" s="92"/>
      <c r="H89" s="92">
        <v>0.05</v>
      </c>
      <c r="I89" s="85"/>
      <c r="J89" s="85"/>
      <c r="K89" s="85"/>
      <c r="L89" s="85"/>
      <c r="M89" s="85"/>
      <c r="N89" s="86"/>
      <c r="O89" s="86"/>
      <c r="P89" s="86"/>
      <c r="Q89" s="86"/>
      <c r="R89" s="86"/>
      <c r="S89" s="86"/>
      <c r="T89" s="86"/>
      <c r="U89" s="86"/>
      <c r="V89" s="86"/>
      <c r="W89" s="86"/>
      <c r="X89" s="86"/>
      <c r="Y89" s="86"/>
      <c r="Z89" s="86"/>
      <c r="AA89" s="86"/>
      <c r="AB89" s="86"/>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8"/>
      <c r="DQ89" s="58"/>
    </row>
    <row r="90" spans="1:121" s="52" customFormat="1" ht="3" customHeight="1">
      <c r="A90" s="55"/>
      <c r="B90" s="99"/>
      <c r="C90" s="94"/>
      <c r="D90" s="94"/>
      <c r="E90" s="92"/>
      <c r="F90" s="101"/>
      <c r="G90" s="101"/>
      <c r="H90" s="86"/>
      <c r="I90" s="86"/>
      <c r="J90" s="86"/>
      <c r="K90" s="86"/>
      <c r="L90" s="86"/>
      <c r="M90" s="85"/>
      <c r="N90" s="86"/>
      <c r="O90" s="86"/>
      <c r="P90" s="86"/>
      <c r="Q90" s="86"/>
      <c r="R90" s="86"/>
      <c r="S90" s="86"/>
      <c r="T90" s="86"/>
      <c r="U90" s="86"/>
      <c r="V90" s="86"/>
      <c r="W90" s="86"/>
      <c r="X90" s="86"/>
      <c r="Y90" s="86"/>
      <c r="Z90" s="86"/>
      <c r="AA90" s="86"/>
      <c r="AB90" s="86"/>
      <c r="DP90" s="58"/>
      <c r="DQ90" s="58"/>
    </row>
    <row r="91" spans="1:121" s="52" customFormat="1" ht="25.2">
      <c r="A91" s="55"/>
      <c r="B91" s="335" t="s">
        <v>454</v>
      </c>
      <c r="C91" s="333" t="s">
        <v>376</v>
      </c>
      <c r="D91" s="305" t="s">
        <v>476</v>
      </c>
      <c r="E91" s="92" t="s">
        <v>6</v>
      </c>
      <c r="F91" s="101" t="s">
        <v>10</v>
      </c>
      <c r="G91" s="101"/>
      <c r="H91" s="441"/>
      <c r="I91" s="86"/>
      <c r="J91" s="86"/>
      <c r="K91" s="86"/>
      <c r="L91" s="86"/>
      <c r="M91" s="85"/>
      <c r="N91" s="86"/>
      <c r="O91" s="86"/>
      <c r="P91" s="86"/>
      <c r="Q91" s="86"/>
      <c r="R91" s="86"/>
      <c r="S91" s="86"/>
      <c r="T91" s="86"/>
      <c r="U91" s="86"/>
      <c r="V91" s="86"/>
      <c r="W91" s="86"/>
      <c r="X91" s="86"/>
      <c r="Y91" s="86"/>
      <c r="Z91" s="86"/>
      <c r="AA91" s="86"/>
      <c r="AB91" s="86"/>
      <c r="DP91" s="58"/>
      <c r="DQ91" s="58"/>
    </row>
    <row r="92" spans="1:121" s="52" customFormat="1" ht="3" customHeight="1">
      <c r="A92" s="55"/>
      <c r="B92" s="335"/>
      <c r="C92" s="93"/>
      <c r="D92" s="83"/>
      <c r="E92" s="92"/>
      <c r="F92" s="101"/>
      <c r="G92" s="101"/>
      <c r="H92" s="86"/>
      <c r="I92" s="86"/>
      <c r="J92" s="86"/>
      <c r="K92" s="86"/>
      <c r="L92" s="86"/>
      <c r="M92" s="85"/>
      <c r="N92" s="86"/>
      <c r="O92" s="86"/>
      <c r="P92" s="86"/>
      <c r="Q92" s="86"/>
      <c r="R92" s="86"/>
      <c r="S92" s="86"/>
      <c r="T92" s="86"/>
      <c r="U92" s="86"/>
      <c r="V92" s="86"/>
      <c r="W92" s="86"/>
      <c r="X92" s="86"/>
      <c r="Y92" s="86"/>
      <c r="Z92" s="86"/>
      <c r="AA92" s="86"/>
      <c r="AB92" s="86"/>
      <c r="DP92" s="58"/>
      <c r="DQ92" s="58"/>
    </row>
    <row r="93" spans="1:121" s="52" customFormat="1" ht="25.2">
      <c r="A93" s="55"/>
      <c r="B93" s="335" t="s">
        <v>373</v>
      </c>
      <c r="C93" s="99" t="s">
        <v>378</v>
      </c>
      <c r="D93" s="83"/>
      <c r="E93" s="92" t="s">
        <v>6</v>
      </c>
      <c r="F93" s="101" t="s">
        <v>90</v>
      </c>
      <c r="G93" s="101"/>
      <c r="H93" s="441"/>
      <c r="I93" s="86"/>
      <c r="J93" s="86"/>
      <c r="K93" s="86"/>
      <c r="L93" s="86"/>
      <c r="M93" s="85"/>
      <c r="N93" s="86"/>
      <c r="O93" s="86"/>
      <c r="P93" s="86"/>
      <c r="Q93" s="86"/>
      <c r="R93" s="86"/>
      <c r="S93" s="86"/>
      <c r="T93" s="86"/>
      <c r="U93" s="86"/>
      <c r="V93" s="86"/>
      <c r="W93" s="86"/>
      <c r="X93" s="86"/>
      <c r="Y93" s="86"/>
      <c r="Z93" s="86"/>
      <c r="AA93" s="86"/>
      <c r="AB93" s="86"/>
      <c r="DP93" s="58"/>
      <c r="DQ93" s="58"/>
    </row>
    <row r="94" spans="1:121" s="52" customFormat="1" ht="3" customHeight="1">
      <c r="A94" s="55"/>
      <c r="B94" s="335"/>
      <c r="C94" s="93"/>
      <c r="D94" s="83"/>
      <c r="E94" s="92"/>
      <c r="F94" s="101"/>
      <c r="G94" s="101"/>
      <c r="H94" s="86"/>
      <c r="I94" s="86"/>
      <c r="J94" s="86"/>
      <c r="K94" s="86"/>
      <c r="L94" s="86"/>
      <c r="M94" s="85"/>
      <c r="N94" s="86"/>
      <c r="O94" s="86"/>
      <c r="P94" s="86"/>
      <c r="Q94" s="86"/>
      <c r="R94" s="86"/>
      <c r="S94" s="86"/>
      <c r="T94" s="86"/>
      <c r="U94" s="86"/>
      <c r="V94" s="86"/>
      <c r="W94" s="86"/>
      <c r="X94" s="86"/>
      <c r="Y94" s="86"/>
      <c r="Z94" s="86"/>
      <c r="AA94" s="86"/>
      <c r="AB94" s="86"/>
      <c r="DP94" s="58"/>
      <c r="DQ94" s="58"/>
    </row>
    <row r="95" spans="1:121" s="52" customFormat="1" ht="25.2">
      <c r="A95" s="55"/>
      <c r="B95" s="335" t="s">
        <v>383</v>
      </c>
      <c r="C95" s="99" t="s">
        <v>379</v>
      </c>
      <c r="D95" s="83"/>
      <c r="E95" s="92" t="s">
        <v>6</v>
      </c>
      <c r="F95" s="101" t="s">
        <v>10</v>
      </c>
      <c r="G95" s="101"/>
      <c r="H95" s="441"/>
      <c r="I95" s="86"/>
      <c r="J95" s="86"/>
      <c r="K95" s="86"/>
      <c r="L95" s="86"/>
      <c r="M95" s="85"/>
      <c r="N95" s="86"/>
      <c r="O95" s="86"/>
      <c r="P95" s="86"/>
      <c r="Q95" s="86"/>
      <c r="R95" s="86"/>
      <c r="S95" s="86"/>
      <c r="T95" s="86"/>
      <c r="U95" s="86"/>
      <c r="V95" s="86"/>
      <c r="W95" s="86"/>
      <c r="X95" s="86"/>
      <c r="Y95" s="86"/>
      <c r="Z95" s="86"/>
      <c r="AA95" s="86"/>
      <c r="AB95" s="86"/>
      <c r="DP95" s="58"/>
      <c r="DQ95" s="58"/>
    </row>
    <row r="96" spans="1:121" s="52" customFormat="1" ht="3" customHeight="1">
      <c r="A96" s="55"/>
      <c r="B96" s="335"/>
      <c r="C96" s="93"/>
      <c r="D96" s="83"/>
      <c r="E96" s="92"/>
      <c r="F96" s="92"/>
      <c r="G96" s="92"/>
      <c r="H96" s="83"/>
      <c r="I96" s="86"/>
      <c r="J96" s="86"/>
      <c r="K96" s="86"/>
      <c r="L96" s="86"/>
      <c r="M96" s="85"/>
      <c r="N96" s="86"/>
      <c r="O96" s="86"/>
      <c r="P96" s="86"/>
      <c r="Q96" s="86"/>
      <c r="R96" s="86"/>
      <c r="S96" s="86"/>
      <c r="T96" s="86"/>
      <c r="U96" s="86"/>
      <c r="V96" s="86"/>
      <c r="W96" s="86"/>
      <c r="X96" s="86"/>
      <c r="Y96" s="86"/>
      <c r="Z96" s="86"/>
      <c r="AA96" s="86"/>
      <c r="AB96" s="86"/>
      <c r="DP96" s="58"/>
      <c r="DQ96" s="58"/>
    </row>
    <row r="97" spans="1:121" s="52" customFormat="1" ht="25.2">
      <c r="A97" s="55"/>
      <c r="B97" s="335" t="s">
        <v>385</v>
      </c>
      <c r="C97" s="93" t="s">
        <v>388</v>
      </c>
      <c r="D97" s="83" t="s">
        <v>391</v>
      </c>
      <c r="E97" s="92" t="s">
        <v>8</v>
      </c>
      <c r="F97" s="101" t="s">
        <v>90</v>
      </c>
      <c r="G97" s="101"/>
      <c r="H97" s="142" t="str">
        <f>IF(ISNUMBER(DT50bio_soil_gr), IF(DT50bio_soil_gr=0,0,LN(2)/DT50bio_soil_gr),"??")</f>
        <v>??</v>
      </c>
      <c r="I97" s="161"/>
      <c r="J97" s="86"/>
      <c r="K97" s="86"/>
      <c r="L97" s="86"/>
      <c r="M97" s="85"/>
      <c r="N97" s="86"/>
      <c r="O97" s="86"/>
      <c r="P97" s="86"/>
      <c r="Q97" s="86"/>
      <c r="R97" s="86"/>
      <c r="S97" s="86"/>
      <c r="T97" s="86"/>
      <c r="U97" s="86"/>
      <c r="V97" s="86"/>
      <c r="W97" s="86"/>
      <c r="X97" s="86"/>
      <c r="Y97" s="86"/>
      <c r="Z97" s="86"/>
      <c r="AA97" s="86"/>
      <c r="AB97" s="86"/>
      <c r="DP97" s="58"/>
      <c r="DQ97" s="58"/>
    </row>
    <row r="98" spans="1:121" s="52" customFormat="1" ht="3" customHeight="1">
      <c r="A98" s="55"/>
      <c r="B98" s="335"/>
      <c r="C98" s="93"/>
      <c r="D98" s="83"/>
      <c r="E98" s="92"/>
      <c r="F98" s="101"/>
      <c r="G98" s="101"/>
      <c r="H98" s="105"/>
      <c r="I98" s="86"/>
      <c r="J98" s="86"/>
      <c r="K98" s="86"/>
      <c r="L98" s="86"/>
      <c r="M98" s="85"/>
      <c r="N98" s="86"/>
      <c r="O98" s="86"/>
      <c r="P98" s="86"/>
      <c r="Q98" s="86"/>
      <c r="R98" s="86"/>
      <c r="S98" s="86"/>
      <c r="T98" s="86"/>
      <c r="U98" s="86"/>
      <c r="V98" s="86"/>
      <c r="W98" s="86"/>
      <c r="X98" s="86"/>
      <c r="Y98" s="86"/>
      <c r="Z98" s="86"/>
      <c r="AA98" s="86"/>
      <c r="AB98" s="86"/>
      <c r="DP98" s="58"/>
      <c r="DQ98" s="58"/>
    </row>
    <row r="99" spans="1:121" ht="13.8">
      <c r="B99" s="336" t="s">
        <v>386</v>
      </c>
      <c r="C99" s="84" t="s">
        <v>380</v>
      </c>
      <c r="D99" s="83" t="s">
        <v>396</v>
      </c>
      <c r="E99" s="92" t="s">
        <v>8</v>
      </c>
      <c r="F99" s="101" t="s">
        <v>90</v>
      </c>
      <c r="G99" s="101"/>
      <c r="H99" s="142" t="str">
        <f>IF(AND(ISNUMBER(kvolat_gr),ISNUMBER(kleach_gr),ISNUMBER(kdeg_gr)),kvolat_gr+kleach_gr+kdeg_gr,"??")</f>
        <v>??</v>
      </c>
      <c r="I99" s="86"/>
      <c r="J99" s="86"/>
      <c r="K99" s="86"/>
      <c r="L99" s="86"/>
      <c r="M99" s="85"/>
      <c r="N99" s="86"/>
      <c r="O99" s="86"/>
      <c r="P99" s="86"/>
      <c r="Q99" s="86"/>
      <c r="R99" s="86"/>
      <c r="S99" s="86"/>
      <c r="T99" s="86"/>
      <c r="U99" s="86"/>
      <c r="V99" s="86"/>
      <c r="W99" s="86"/>
      <c r="X99" s="86"/>
      <c r="Y99" s="86"/>
      <c r="Z99" s="86"/>
      <c r="AA99" s="86"/>
      <c r="AB99" s="86"/>
    </row>
    <row r="100" spans="1:121" ht="3" customHeight="1">
      <c r="B100" s="93"/>
      <c r="C100" s="84"/>
      <c r="D100" s="83"/>
      <c r="E100" s="92"/>
      <c r="F100" s="101"/>
      <c r="G100" s="101"/>
      <c r="H100" s="105"/>
      <c r="I100" s="86"/>
      <c r="J100" s="86"/>
      <c r="K100" s="86"/>
      <c r="L100" s="86"/>
      <c r="M100" s="85"/>
      <c r="N100" s="86"/>
      <c r="O100" s="86"/>
      <c r="P100" s="86"/>
      <c r="Q100" s="86"/>
      <c r="R100" s="86"/>
      <c r="S100" s="86"/>
      <c r="T100" s="86"/>
      <c r="U100" s="86"/>
      <c r="V100" s="86"/>
      <c r="W100" s="86"/>
      <c r="X100" s="86"/>
      <c r="Y100" s="86"/>
      <c r="Z100" s="86"/>
      <c r="AA100" s="86"/>
      <c r="AB100" s="86"/>
    </row>
    <row r="101" spans="1:121" s="54" customFormat="1" ht="15">
      <c r="A101" s="55"/>
      <c r="B101" s="336" t="s">
        <v>72</v>
      </c>
      <c r="C101" s="84" t="s">
        <v>46</v>
      </c>
      <c r="D101" s="94" t="s">
        <v>187</v>
      </c>
      <c r="E101" s="92" t="s">
        <v>13</v>
      </c>
      <c r="F101" s="101" t="s">
        <v>71</v>
      </c>
      <c r="G101" s="101"/>
      <c r="H101" s="101">
        <v>170</v>
      </c>
      <c r="I101" s="85"/>
      <c r="J101" s="85"/>
      <c r="K101" s="85"/>
      <c r="L101" s="85"/>
      <c r="M101" s="85"/>
      <c r="N101" s="86"/>
      <c r="O101" s="86"/>
      <c r="P101" s="86"/>
      <c r="Q101" s="86"/>
      <c r="R101" s="86"/>
      <c r="S101" s="86"/>
      <c r="T101" s="86"/>
      <c r="U101" s="86"/>
      <c r="V101" s="86"/>
      <c r="W101" s="86"/>
      <c r="X101" s="86"/>
      <c r="Y101" s="86"/>
      <c r="Z101" s="86"/>
      <c r="AA101" s="86"/>
      <c r="AB101" s="86"/>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8"/>
      <c r="DQ101" s="58"/>
    </row>
    <row r="102" spans="1:121" s="54" customFormat="1">
      <c r="A102" s="55"/>
      <c r="B102" s="336"/>
      <c r="C102" s="84"/>
      <c r="D102" s="94"/>
      <c r="E102" s="92"/>
      <c r="F102" s="101"/>
      <c r="G102" s="101"/>
      <c r="H102" s="101"/>
      <c r="I102" s="85"/>
      <c r="J102" s="85"/>
      <c r="K102" s="85"/>
      <c r="L102" s="85"/>
      <c r="M102" s="85"/>
      <c r="N102" s="86"/>
      <c r="O102" s="86"/>
      <c r="P102" s="86"/>
      <c r="Q102" s="86"/>
      <c r="R102" s="86"/>
      <c r="S102" s="86"/>
      <c r="T102" s="86"/>
      <c r="U102" s="86"/>
      <c r="V102" s="86"/>
      <c r="W102" s="86"/>
      <c r="X102" s="86"/>
      <c r="Y102" s="86"/>
      <c r="Z102" s="86"/>
      <c r="AA102" s="86"/>
      <c r="AB102" s="86"/>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8"/>
      <c r="DQ102" s="58"/>
    </row>
    <row r="103" spans="1:121" s="54" customFormat="1">
      <c r="A103" s="55"/>
      <c r="B103" s="334" t="s">
        <v>384</v>
      </c>
      <c r="C103" s="93"/>
      <c r="D103" s="83"/>
      <c r="E103" s="92"/>
      <c r="F103" s="101"/>
      <c r="G103" s="101"/>
      <c r="H103" s="86"/>
      <c r="I103" s="85"/>
      <c r="J103" s="85"/>
      <c r="K103" s="85"/>
      <c r="L103" s="85"/>
      <c r="M103" s="85"/>
      <c r="N103" s="86"/>
      <c r="O103" s="86"/>
      <c r="P103" s="86"/>
      <c r="Q103" s="86"/>
      <c r="R103" s="86"/>
      <c r="S103" s="86"/>
      <c r="T103" s="86"/>
      <c r="U103" s="86"/>
      <c r="V103" s="86"/>
      <c r="W103" s="86"/>
      <c r="X103" s="86"/>
      <c r="Y103" s="86"/>
      <c r="Z103" s="86"/>
      <c r="AA103" s="86"/>
      <c r="AB103" s="86"/>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8"/>
      <c r="DQ103" s="58"/>
    </row>
    <row r="104" spans="1:121" s="54" customFormat="1" ht="3" customHeight="1">
      <c r="A104" s="55"/>
      <c r="B104" s="334"/>
      <c r="C104" s="93"/>
      <c r="D104" s="83"/>
      <c r="E104" s="92"/>
      <c r="F104" s="101"/>
      <c r="G104" s="101"/>
      <c r="H104" s="86"/>
      <c r="I104" s="85"/>
      <c r="J104" s="85"/>
      <c r="K104" s="85"/>
      <c r="L104" s="85"/>
      <c r="M104" s="85"/>
      <c r="N104" s="86"/>
      <c r="O104" s="86"/>
      <c r="P104" s="86"/>
      <c r="Q104" s="86"/>
      <c r="R104" s="86"/>
      <c r="S104" s="86"/>
      <c r="T104" s="86"/>
      <c r="U104" s="86"/>
      <c r="V104" s="86"/>
      <c r="W104" s="86"/>
      <c r="X104" s="86"/>
      <c r="Y104" s="86"/>
      <c r="Z104" s="86"/>
      <c r="AA104" s="86"/>
      <c r="AB104" s="86"/>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8"/>
      <c r="DQ104" s="58"/>
    </row>
    <row r="105" spans="1:121" s="54" customFormat="1" ht="15">
      <c r="A105" s="55"/>
      <c r="B105" s="335" t="s">
        <v>75</v>
      </c>
      <c r="C105" s="94" t="s">
        <v>167</v>
      </c>
      <c r="D105" s="94" t="s">
        <v>335</v>
      </c>
      <c r="E105" s="92" t="s">
        <v>13</v>
      </c>
      <c r="F105" s="92" t="s">
        <v>48</v>
      </c>
      <c r="G105" s="92"/>
      <c r="H105" s="104">
        <v>0.2</v>
      </c>
      <c r="I105" s="85"/>
      <c r="J105" s="85"/>
      <c r="K105" s="85"/>
      <c r="L105" s="85"/>
      <c r="M105" s="85"/>
      <c r="N105" s="86"/>
      <c r="O105" s="86"/>
      <c r="P105" s="86"/>
      <c r="Q105" s="86"/>
      <c r="R105" s="86"/>
      <c r="S105" s="86"/>
      <c r="T105" s="86"/>
      <c r="U105" s="86"/>
      <c r="V105" s="86"/>
      <c r="W105" s="86"/>
      <c r="X105" s="86"/>
      <c r="Y105" s="86"/>
      <c r="Z105" s="86"/>
      <c r="AA105" s="86"/>
      <c r="AB105" s="86"/>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8"/>
      <c r="DQ105" s="58"/>
    </row>
    <row r="106" spans="1:121" s="54" customFormat="1" ht="3" customHeight="1">
      <c r="A106" s="55"/>
      <c r="B106" s="99"/>
      <c r="C106" s="94"/>
      <c r="D106" s="94"/>
      <c r="E106" s="92"/>
      <c r="F106" s="101"/>
      <c r="G106" s="101"/>
      <c r="H106" s="86"/>
      <c r="I106" s="85"/>
      <c r="J106" s="85"/>
      <c r="K106" s="85"/>
      <c r="L106" s="85"/>
      <c r="M106" s="85"/>
      <c r="N106" s="86"/>
      <c r="O106" s="86"/>
      <c r="P106" s="86"/>
      <c r="Q106" s="86"/>
      <c r="R106" s="86"/>
      <c r="S106" s="86"/>
      <c r="T106" s="86"/>
      <c r="U106" s="86"/>
      <c r="V106" s="86"/>
      <c r="W106" s="86"/>
      <c r="X106" s="86"/>
      <c r="Y106" s="86"/>
      <c r="Z106" s="86"/>
      <c r="AA106" s="86"/>
      <c r="AB106" s="86"/>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8"/>
      <c r="DQ106" s="58"/>
    </row>
    <row r="107" spans="1:121" s="54" customFormat="1" ht="26.4">
      <c r="A107" s="55"/>
      <c r="B107" s="335" t="s">
        <v>509</v>
      </c>
      <c r="C107" s="333" t="s">
        <v>398</v>
      </c>
      <c r="D107" s="305" t="s">
        <v>477</v>
      </c>
      <c r="E107" s="92" t="s">
        <v>6</v>
      </c>
      <c r="F107" s="101" t="s">
        <v>10</v>
      </c>
      <c r="G107" s="101"/>
      <c r="H107" s="441"/>
      <c r="I107" s="85"/>
      <c r="J107" s="85"/>
      <c r="K107" s="85"/>
      <c r="L107" s="85"/>
      <c r="M107" s="85"/>
      <c r="N107" s="86"/>
      <c r="O107" s="86"/>
      <c r="P107" s="86"/>
      <c r="Q107" s="86"/>
      <c r="R107" s="86"/>
      <c r="S107" s="86"/>
      <c r="T107" s="86"/>
      <c r="U107" s="86"/>
      <c r="V107" s="86"/>
      <c r="W107" s="86"/>
      <c r="X107" s="86"/>
      <c r="Y107" s="86"/>
      <c r="Z107" s="86"/>
      <c r="AA107" s="86"/>
      <c r="AB107" s="86"/>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8"/>
      <c r="DQ107" s="58"/>
    </row>
    <row r="108" spans="1:121" s="54" customFormat="1" ht="3" customHeight="1">
      <c r="A108" s="55"/>
      <c r="B108" s="335"/>
      <c r="C108" s="93"/>
      <c r="D108" s="83"/>
      <c r="E108" s="92"/>
      <c r="F108" s="101"/>
      <c r="G108" s="101"/>
      <c r="H108" s="86"/>
      <c r="I108" s="85"/>
      <c r="J108" s="85"/>
      <c r="K108" s="85"/>
      <c r="L108" s="85"/>
      <c r="M108" s="85"/>
      <c r="N108" s="86"/>
      <c r="O108" s="86"/>
      <c r="P108" s="86"/>
      <c r="Q108" s="86"/>
      <c r="R108" s="86"/>
      <c r="S108" s="86"/>
      <c r="T108" s="86"/>
      <c r="U108" s="86"/>
      <c r="V108" s="86"/>
      <c r="W108" s="86"/>
      <c r="X108" s="86"/>
      <c r="Y108" s="86"/>
      <c r="Z108" s="86"/>
      <c r="AA108" s="86"/>
      <c r="AB108" s="86"/>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8"/>
      <c r="DQ108" s="58"/>
    </row>
    <row r="109" spans="1:121" s="54" customFormat="1" ht="25.2">
      <c r="A109" s="55"/>
      <c r="B109" s="335" t="s">
        <v>381</v>
      </c>
      <c r="C109" s="99" t="s">
        <v>374</v>
      </c>
      <c r="D109" s="83"/>
      <c r="E109" s="92" t="s">
        <v>6</v>
      </c>
      <c r="F109" s="101" t="s">
        <v>90</v>
      </c>
      <c r="G109" s="101"/>
      <c r="H109" s="441"/>
      <c r="I109" s="85"/>
      <c r="J109" s="85"/>
      <c r="K109" s="85"/>
      <c r="L109" s="85"/>
      <c r="M109" s="85"/>
      <c r="N109" s="86"/>
      <c r="O109" s="86"/>
      <c r="P109" s="86"/>
      <c r="Q109" s="86"/>
      <c r="R109" s="86"/>
      <c r="S109" s="86"/>
      <c r="T109" s="86"/>
      <c r="U109" s="86"/>
      <c r="V109" s="86"/>
      <c r="W109" s="86"/>
      <c r="X109" s="86"/>
      <c r="Y109" s="86"/>
      <c r="Z109" s="86"/>
      <c r="AA109" s="86"/>
      <c r="AB109" s="86"/>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8"/>
      <c r="DQ109" s="58"/>
    </row>
    <row r="110" spans="1:121" s="54" customFormat="1" ht="3" customHeight="1">
      <c r="A110" s="55"/>
      <c r="B110" s="335"/>
      <c r="C110" s="93"/>
      <c r="D110" s="83"/>
      <c r="E110" s="92"/>
      <c r="F110" s="101"/>
      <c r="G110" s="101"/>
      <c r="H110" s="86"/>
      <c r="I110" s="85"/>
      <c r="J110" s="85"/>
      <c r="K110" s="85"/>
      <c r="L110" s="85"/>
      <c r="M110" s="85"/>
      <c r="N110" s="86"/>
      <c r="O110" s="86"/>
      <c r="P110" s="86"/>
      <c r="Q110" s="86"/>
      <c r="R110" s="86"/>
      <c r="S110" s="86"/>
      <c r="T110" s="86"/>
      <c r="U110" s="86"/>
      <c r="V110" s="86"/>
      <c r="W110" s="86"/>
      <c r="X110" s="86"/>
      <c r="Y110" s="86"/>
      <c r="Z110" s="86"/>
      <c r="AA110" s="86"/>
      <c r="AB110" s="86"/>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8"/>
      <c r="DQ110" s="58"/>
    </row>
    <row r="111" spans="1:121" s="54" customFormat="1" ht="25.2">
      <c r="A111" s="55"/>
      <c r="B111" s="335" t="s">
        <v>392</v>
      </c>
      <c r="C111" s="99" t="s">
        <v>375</v>
      </c>
      <c r="D111" s="83"/>
      <c r="E111" s="92" t="s">
        <v>6</v>
      </c>
      <c r="F111" s="101" t="s">
        <v>90</v>
      </c>
      <c r="G111" s="101"/>
      <c r="H111" s="441"/>
      <c r="I111" s="85"/>
      <c r="J111" s="85"/>
      <c r="K111" s="85"/>
      <c r="L111" s="85"/>
      <c r="M111" s="85"/>
      <c r="N111" s="86"/>
      <c r="O111" s="86"/>
      <c r="P111" s="86"/>
      <c r="Q111" s="86"/>
      <c r="R111" s="86"/>
      <c r="S111" s="86"/>
      <c r="T111" s="86"/>
      <c r="U111" s="86"/>
      <c r="V111" s="86"/>
      <c r="W111" s="86"/>
      <c r="X111" s="86"/>
      <c r="Y111" s="86"/>
      <c r="Z111" s="86"/>
      <c r="AA111" s="86"/>
      <c r="AB111" s="86"/>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8"/>
      <c r="DQ111" s="58"/>
    </row>
    <row r="112" spans="1:121" s="54" customFormat="1" ht="3" customHeight="1">
      <c r="A112" s="55"/>
      <c r="B112" s="335"/>
      <c r="C112" s="93"/>
      <c r="D112" s="83"/>
      <c r="E112" s="92"/>
      <c r="F112" s="92"/>
      <c r="G112" s="92"/>
      <c r="H112" s="83"/>
      <c r="I112" s="85"/>
      <c r="J112" s="85"/>
      <c r="K112" s="85"/>
      <c r="L112" s="85"/>
      <c r="M112" s="85"/>
      <c r="N112" s="86"/>
      <c r="O112" s="86"/>
      <c r="P112" s="86"/>
      <c r="Q112" s="86"/>
      <c r="R112" s="86"/>
      <c r="S112" s="86"/>
      <c r="T112" s="86"/>
      <c r="U112" s="86"/>
      <c r="V112" s="86"/>
      <c r="W112" s="86"/>
      <c r="X112" s="86"/>
      <c r="Y112" s="86"/>
      <c r="Z112" s="86"/>
      <c r="AA112" s="86"/>
      <c r="AB112" s="86"/>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8"/>
      <c r="DQ112" s="58"/>
    </row>
    <row r="113" spans="1:121" s="54" customFormat="1" ht="25.2">
      <c r="A113" s="55"/>
      <c r="B113" s="335" t="s">
        <v>400</v>
      </c>
      <c r="C113" s="93" t="s">
        <v>389</v>
      </c>
      <c r="D113" s="83" t="s">
        <v>399</v>
      </c>
      <c r="E113" s="92" t="s">
        <v>8</v>
      </c>
      <c r="F113" s="101" t="s">
        <v>90</v>
      </c>
      <c r="G113" s="101"/>
      <c r="H113" s="142" t="str">
        <f>IF(ISNUMBER(DT50bio_soil_ar), IF(DT50bio_soil_ar=0,0,LN(2)/DT50bio_soil_ar),"??")</f>
        <v>??</v>
      </c>
      <c r="I113" s="85"/>
      <c r="J113" s="85"/>
      <c r="K113" s="85"/>
      <c r="L113" s="85"/>
      <c r="M113" s="85"/>
      <c r="N113" s="86"/>
      <c r="O113" s="86"/>
      <c r="P113" s="86"/>
      <c r="Q113" s="86"/>
      <c r="R113" s="86"/>
      <c r="S113" s="86"/>
      <c r="T113" s="86"/>
      <c r="U113" s="86"/>
      <c r="V113" s="86"/>
      <c r="W113" s="86"/>
      <c r="X113" s="86"/>
      <c r="Y113" s="86"/>
      <c r="Z113" s="86"/>
      <c r="AA113" s="86"/>
      <c r="AB113" s="86"/>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8"/>
      <c r="DQ113" s="58"/>
    </row>
    <row r="114" spans="1:121" s="54" customFormat="1" ht="3" customHeight="1">
      <c r="A114" s="55"/>
      <c r="B114" s="335"/>
      <c r="C114" s="93"/>
      <c r="D114" s="83"/>
      <c r="E114" s="92"/>
      <c r="F114" s="101"/>
      <c r="G114" s="101"/>
      <c r="H114" s="105"/>
      <c r="I114" s="85"/>
      <c r="J114" s="85"/>
      <c r="K114" s="85"/>
      <c r="L114" s="85"/>
      <c r="M114" s="85"/>
      <c r="N114" s="86"/>
      <c r="O114" s="86"/>
      <c r="P114" s="86"/>
      <c r="Q114" s="86"/>
      <c r="R114" s="86"/>
      <c r="S114" s="86"/>
      <c r="T114" s="86"/>
      <c r="U114" s="86"/>
      <c r="V114" s="86"/>
      <c r="W114" s="86"/>
      <c r="X114" s="86"/>
      <c r="Y114" s="86"/>
      <c r="Z114" s="86"/>
      <c r="AA114" s="86"/>
      <c r="AB114" s="86"/>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8"/>
      <c r="DQ114" s="58"/>
    </row>
    <row r="115" spans="1:121" s="54" customFormat="1" ht="13.8">
      <c r="A115" s="55"/>
      <c r="B115" s="336" t="s">
        <v>394</v>
      </c>
      <c r="C115" s="84" t="s">
        <v>387</v>
      </c>
      <c r="D115" s="83" t="s">
        <v>397</v>
      </c>
      <c r="E115" s="92" t="s">
        <v>8</v>
      </c>
      <c r="F115" s="101" t="s">
        <v>90</v>
      </c>
      <c r="G115" s="101"/>
      <c r="H115" s="142" t="str">
        <f>IF(AND(ISNUMBER(kvolat_ar),ISNUMBER(kleach_ar),ISNUMBER(kdeg_ar)),kvolat_ar+kleach_ar+kdeg_ar,"??")</f>
        <v>??</v>
      </c>
      <c r="I115" s="85"/>
      <c r="J115" s="85"/>
      <c r="K115" s="85"/>
      <c r="L115" s="85"/>
      <c r="M115" s="85"/>
      <c r="N115" s="86"/>
      <c r="O115" s="86"/>
      <c r="P115" s="86"/>
      <c r="Q115" s="86"/>
      <c r="R115" s="86"/>
      <c r="S115" s="86"/>
      <c r="T115" s="86"/>
      <c r="U115" s="86"/>
      <c r="V115" s="86"/>
      <c r="W115" s="86"/>
      <c r="X115" s="86"/>
      <c r="Y115" s="86"/>
      <c r="Z115" s="86"/>
      <c r="AA115" s="86"/>
      <c r="AB115" s="86"/>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8"/>
      <c r="DQ115" s="58"/>
    </row>
    <row r="116" spans="1:121" s="54" customFormat="1" ht="3" customHeight="1">
      <c r="A116" s="55"/>
      <c r="B116" s="93"/>
      <c r="C116" s="84"/>
      <c r="D116" s="84"/>
      <c r="E116" s="92"/>
      <c r="F116" s="101"/>
      <c r="G116" s="101"/>
      <c r="H116" s="105"/>
      <c r="I116" s="85"/>
      <c r="J116" s="85"/>
      <c r="K116" s="85"/>
      <c r="L116" s="85"/>
      <c r="M116" s="85"/>
      <c r="N116" s="86"/>
      <c r="O116" s="86"/>
      <c r="P116" s="86"/>
      <c r="Q116" s="86"/>
      <c r="R116" s="86"/>
      <c r="S116" s="86"/>
      <c r="T116" s="86"/>
      <c r="U116" s="86"/>
      <c r="V116" s="86"/>
      <c r="W116" s="86"/>
      <c r="X116" s="86"/>
      <c r="Y116" s="86"/>
      <c r="Z116" s="86"/>
      <c r="AA116" s="86"/>
      <c r="AB116" s="86"/>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8"/>
      <c r="DQ116" s="58"/>
    </row>
    <row r="117" spans="1:121" s="54" customFormat="1" ht="15" customHeight="1">
      <c r="A117" s="55"/>
      <c r="B117" s="336" t="s">
        <v>73</v>
      </c>
      <c r="C117" s="84" t="s">
        <v>47</v>
      </c>
      <c r="D117" s="94" t="s">
        <v>187</v>
      </c>
      <c r="E117" s="92" t="s">
        <v>13</v>
      </c>
      <c r="F117" s="101" t="s">
        <v>71</v>
      </c>
      <c r="G117" s="101"/>
      <c r="H117" s="101">
        <v>170</v>
      </c>
      <c r="I117" s="85"/>
      <c r="J117" s="85"/>
      <c r="K117" s="85"/>
      <c r="L117" s="85"/>
      <c r="M117" s="85"/>
      <c r="N117" s="86"/>
      <c r="O117" s="86"/>
      <c r="P117" s="86"/>
      <c r="Q117" s="86"/>
      <c r="R117" s="86"/>
      <c r="S117" s="86"/>
      <c r="T117" s="86"/>
      <c r="U117" s="86"/>
      <c r="V117" s="86"/>
      <c r="W117" s="86"/>
      <c r="X117" s="86"/>
      <c r="Y117" s="86"/>
      <c r="Z117" s="86"/>
      <c r="AA117" s="86"/>
      <c r="AB117" s="86"/>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8"/>
      <c r="DQ117" s="58"/>
    </row>
    <row r="118" spans="1:121" s="54" customFormat="1">
      <c r="A118" s="55"/>
      <c r="B118" s="93"/>
      <c r="C118" s="84"/>
      <c r="D118" s="94"/>
      <c r="E118" s="92"/>
      <c r="F118" s="101"/>
      <c r="G118" s="101"/>
      <c r="H118" s="101"/>
      <c r="I118" s="280"/>
      <c r="J118" s="85"/>
      <c r="K118" s="85"/>
      <c r="L118" s="85"/>
      <c r="M118" s="85"/>
      <c r="N118" s="86"/>
      <c r="O118" s="86"/>
      <c r="P118" s="86"/>
      <c r="Q118" s="86"/>
      <c r="R118" s="86"/>
      <c r="S118" s="86"/>
      <c r="T118" s="86"/>
      <c r="U118" s="86"/>
      <c r="V118" s="86"/>
      <c r="W118" s="86"/>
      <c r="X118" s="86"/>
      <c r="Y118" s="86"/>
      <c r="Z118" s="86"/>
      <c r="AA118" s="86"/>
      <c r="AB118" s="86"/>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8"/>
      <c r="DQ118" s="58"/>
    </row>
    <row r="119" spans="1:121" s="55" customFormat="1" ht="126.75" customHeight="1">
      <c r="B119" s="106" t="s">
        <v>112</v>
      </c>
      <c r="C119" s="93" t="s">
        <v>101</v>
      </c>
      <c r="D119" s="83" t="s">
        <v>188</v>
      </c>
      <c r="E119" s="107"/>
      <c r="F119" s="107"/>
      <c r="G119" s="107"/>
      <c r="H119" s="107"/>
      <c r="I119" s="170" t="s">
        <v>15</v>
      </c>
      <c r="J119" s="170" t="s">
        <v>91</v>
      </c>
      <c r="K119" s="170" t="s">
        <v>14</v>
      </c>
      <c r="L119" s="170" t="s">
        <v>92</v>
      </c>
      <c r="M119" s="170" t="s">
        <v>16</v>
      </c>
      <c r="N119" s="170" t="s">
        <v>17</v>
      </c>
      <c r="O119" s="170" t="s">
        <v>18</v>
      </c>
      <c r="P119" s="170" t="s">
        <v>19</v>
      </c>
      <c r="Q119" s="170" t="s">
        <v>20</v>
      </c>
      <c r="R119" s="170" t="s">
        <v>21</v>
      </c>
      <c r="S119" s="170" t="s">
        <v>52</v>
      </c>
      <c r="T119" s="170" t="s">
        <v>22</v>
      </c>
      <c r="U119" s="170" t="s">
        <v>23</v>
      </c>
      <c r="V119" s="170" t="s">
        <v>24</v>
      </c>
      <c r="W119" s="170" t="s">
        <v>25</v>
      </c>
      <c r="X119" s="170" t="s">
        <v>26</v>
      </c>
      <c r="Y119" s="170" t="s">
        <v>27</v>
      </c>
      <c r="Z119" s="170" t="s">
        <v>28</v>
      </c>
      <c r="AA119" s="170" t="s">
        <v>29</v>
      </c>
      <c r="AB119" s="170" t="s">
        <v>30</v>
      </c>
    </row>
    <row r="120" spans="1:121" s="52" customFormat="1" ht="14.4">
      <c r="B120" s="111" t="s">
        <v>100</v>
      </c>
      <c r="C120" s="90" t="s">
        <v>97</v>
      </c>
      <c r="D120" s="94" t="s">
        <v>544</v>
      </c>
      <c r="E120" s="98" t="s">
        <v>13</v>
      </c>
      <c r="F120" s="98" t="s">
        <v>98</v>
      </c>
      <c r="G120" s="98"/>
      <c r="H120" s="98"/>
      <c r="I120" s="169">
        <f>'Pick-lists &amp; Defaults'!L16</f>
        <v>0.33889999999999998</v>
      </c>
      <c r="J120" s="169">
        <f>'Pick-lists &amp; Defaults'!L17</f>
        <v>0.14316000000000001</v>
      </c>
      <c r="K120" s="169">
        <f>'Pick-lists &amp; Defaults'!L18</f>
        <v>0.28819</v>
      </c>
      <c r="L120" s="169">
        <f>'Pick-lists &amp; Defaults'!L19</f>
        <v>0.12862999999999999</v>
      </c>
      <c r="M120" s="169">
        <f>'Pick-lists &amp; Defaults'!L20</f>
        <v>2.3820000000000001E-2</v>
      </c>
      <c r="N120" s="169">
        <f>'Pick-lists &amp; Defaults'!L21</f>
        <v>7.1059999999999998E-2</v>
      </c>
      <c r="O120" s="169">
        <f>'Pick-lists &amp; Defaults'!L22</f>
        <v>7.1059999999999998E-2</v>
      </c>
      <c r="P120" s="169">
        <f>'Pick-lists &amp; Defaults'!L23</f>
        <v>3.0429999999999999E-2</v>
      </c>
      <c r="Q120" s="169">
        <f>'Pick-lists &amp; Defaults'!L24</f>
        <v>2.0200000000000001E-3</v>
      </c>
      <c r="R120" s="169">
        <f>'Pick-lists &amp; Defaults'!L25</f>
        <v>1.81E-3</v>
      </c>
      <c r="S120" s="169">
        <f>'Pick-lists &amp; Defaults'!L26</f>
        <v>1.81E-3</v>
      </c>
      <c r="T120" s="169">
        <f>'Pick-lists &amp; Defaults'!L27</f>
        <v>1.81E-3</v>
      </c>
      <c r="U120" s="169">
        <f>'Pick-lists &amp; Defaults'!L28</f>
        <v>1.7099999999999999E-3</v>
      </c>
      <c r="V120" s="169">
        <f>'Pick-lists &amp; Defaults'!L29</f>
        <v>1.56E-3</v>
      </c>
      <c r="W120" s="169">
        <f>'Pick-lists &amp; Defaults'!L30</f>
        <v>1.7099999999999999E-3</v>
      </c>
      <c r="X120" s="169">
        <f>'Pick-lists &amp; Defaults'!L31</f>
        <v>2.98E-3</v>
      </c>
      <c r="Y120" s="169">
        <f>'Pick-lists &amp; Defaults'!L32</f>
        <v>1.3699999999999999E-3</v>
      </c>
      <c r="Z120" s="169">
        <f>'Pick-lists &amp; Defaults'!L33</f>
        <v>4.8199999999999996E-3</v>
      </c>
      <c r="AA120" s="169">
        <f>'Pick-lists &amp; Defaults'!L34</f>
        <v>2.7399999999999998E-3</v>
      </c>
      <c r="AB120" s="169">
        <f>'Pick-lists &amp; Defaults'!L35</f>
        <v>4.8199999999999996E-3</v>
      </c>
    </row>
    <row r="121" spans="1:121" s="52" customFormat="1" ht="5.0999999999999996" customHeight="1">
      <c r="B121" s="111"/>
      <c r="C121" s="90"/>
      <c r="D121" s="86"/>
      <c r="E121" s="97"/>
      <c r="F121" s="98"/>
      <c r="G121" s="98"/>
      <c r="H121" s="98"/>
      <c r="I121" s="188"/>
      <c r="J121" s="188"/>
      <c r="K121" s="188"/>
      <c r="L121" s="188"/>
      <c r="M121" s="188"/>
      <c r="N121" s="188"/>
      <c r="O121" s="188"/>
      <c r="P121" s="188"/>
      <c r="Q121" s="188"/>
      <c r="R121" s="188"/>
      <c r="S121" s="188"/>
      <c r="T121" s="188"/>
      <c r="U121" s="188"/>
      <c r="V121" s="188"/>
      <c r="W121" s="188"/>
      <c r="X121" s="188"/>
      <c r="Y121" s="188"/>
      <c r="Z121" s="188"/>
      <c r="AA121" s="188"/>
      <c r="AB121" s="188"/>
    </row>
    <row r="122" spans="1:121" s="52" customFormat="1" ht="14.4">
      <c r="B122" s="96" t="s">
        <v>96</v>
      </c>
      <c r="C122" s="110" t="s">
        <v>45</v>
      </c>
      <c r="D122" s="94" t="s">
        <v>190</v>
      </c>
      <c r="E122" s="98" t="s">
        <v>13</v>
      </c>
      <c r="F122" s="101" t="s">
        <v>5</v>
      </c>
      <c r="G122" s="101"/>
      <c r="H122" s="97"/>
      <c r="I122" s="169">
        <f>'Pick-lists &amp; Defaults'!C16</f>
        <v>100</v>
      </c>
      <c r="J122" s="169">
        <f>'Pick-lists &amp; Defaults'!C17</f>
        <v>100</v>
      </c>
      <c r="K122" s="169">
        <f>'Pick-lists &amp; Defaults'!C18</f>
        <v>125</v>
      </c>
      <c r="L122" s="169">
        <f>'Pick-lists &amp; Defaults'!C19</f>
        <v>125</v>
      </c>
      <c r="M122" s="169">
        <f>'Pick-lists &amp; Defaults'!C20</f>
        <v>80</v>
      </c>
      <c r="N122" s="169">
        <f>'Pick-lists &amp; Defaults'!C21</f>
        <v>132</v>
      </c>
      <c r="O122" s="169">
        <f>'Pick-lists &amp; Defaults'!C22</f>
        <v>132</v>
      </c>
      <c r="P122" s="169">
        <f>'Pick-lists &amp; Defaults'!C23</f>
        <v>400</v>
      </c>
      <c r="Q122" s="169">
        <f>'Pick-lists &amp; Defaults'!C24</f>
        <v>21000</v>
      </c>
      <c r="R122" s="169">
        <f>'Pick-lists &amp; Defaults'!C25</f>
        <v>21000</v>
      </c>
      <c r="S122" s="169">
        <f>'Pick-lists &amp; Defaults'!C26</f>
        <v>21000</v>
      </c>
      <c r="T122" s="169">
        <f>'Pick-lists &amp; Defaults'!C27</f>
        <v>21000</v>
      </c>
      <c r="U122" s="169">
        <f>'Pick-lists &amp; Defaults'!C28</f>
        <v>10000</v>
      </c>
      <c r="V122" s="169">
        <f>'Pick-lists &amp; Defaults'!C29</f>
        <v>20000</v>
      </c>
      <c r="W122" s="169">
        <f>'Pick-lists &amp; Defaults'!C30</f>
        <v>20000</v>
      </c>
      <c r="X122" s="169">
        <f>'Pick-lists &amp; Defaults'!C31</f>
        <v>7000</v>
      </c>
      <c r="Y122" s="169">
        <f>'Pick-lists &amp; Defaults'!C32</f>
        <v>9000</v>
      </c>
      <c r="Z122" s="169">
        <f>'Pick-lists &amp; Defaults'!C33</f>
        <v>10000</v>
      </c>
      <c r="AA122" s="169">
        <f>'Pick-lists &amp; Defaults'!C34</f>
        <v>10000</v>
      </c>
      <c r="AB122" s="169">
        <f>'Pick-lists &amp; Defaults'!C35</f>
        <v>10000</v>
      </c>
    </row>
    <row r="123" spans="1:121" s="54" customFormat="1">
      <c r="A123" s="55"/>
      <c r="B123" s="93"/>
      <c r="C123" s="84"/>
      <c r="D123" s="84"/>
      <c r="E123" s="92"/>
      <c r="F123" s="92"/>
      <c r="G123" s="92"/>
      <c r="H123" s="92"/>
      <c r="I123" s="92"/>
      <c r="J123" s="106"/>
      <c r="K123" s="106"/>
      <c r="L123" s="106"/>
      <c r="M123" s="106"/>
      <c r="N123" s="83"/>
      <c r="O123" s="83"/>
      <c r="P123" s="83"/>
      <c r="Q123" s="83"/>
      <c r="R123" s="83"/>
      <c r="S123" s="83"/>
      <c r="T123" s="83"/>
      <c r="U123" s="83"/>
      <c r="V123" s="83"/>
      <c r="W123" s="83"/>
      <c r="X123" s="83"/>
      <c r="Y123" s="83"/>
      <c r="Z123" s="83"/>
      <c r="AA123" s="83"/>
      <c r="AB123" s="83"/>
      <c r="AC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8"/>
      <c r="DQ123" s="58"/>
    </row>
    <row r="124" spans="1:121" s="52" customFormat="1" ht="16.2">
      <c r="A124" s="55"/>
      <c r="B124" s="80" t="s">
        <v>49</v>
      </c>
      <c r="C124" s="80"/>
      <c r="D124" s="81"/>
      <c r="E124" s="81"/>
      <c r="F124" s="81"/>
      <c r="G124" s="81"/>
      <c r="H124" s="81"/>
      <c r="I124" s="81"/>
      <c r="J124" s="81"/>
      <c r="K124" s="81"/>
      <c r="L124" s="82"/>
      <c r="M124" s="82"/>
      <c r="N124" s="82"/>
      <c r="O124" s="82"/>
      <c r="P124" s="82"/>
      <c r="Q124" s="82"/>
      <c r="R124" s="82"/>
      <c r="S124" s="82"/>
      <c r="T124" s="82"/>
      <c r="U124" s="82"/>
      <c r="V124" s="82"/>
      <c r="W124" s="82"/>
      <c r="X124" s="82"/>
      <c r="Y124" s="82"/>
      <c r="Z124" s="82"/>
      <c r="AA124" s="82"/>
      <c r="AB124" s="82"/>
      <c r="DP124" s="58"/>
      <c r="DQ124" s="58"/>
    </row>
    <row r="125" spans="1:121" s="52" customFormat="1">
      <c r="A125" s="55"/>
      <c r="B125" s="83"/>
      <c r="C125" s="83"/>
      <c r="D125" s="83"/>
      <c r="E125" s="83"/>
      <c r="F125" s="83"/>
      <c r="G125" s="83"/>
      <c r="H125" s="83"/>
      <c r="I125" s="83"/>
      <c r="J125" s="83"/>
      <c r="K125" s="83"/>
      <c r="L125" s="84"/>
      <c r="M125" s="106"/>
      <c r="N125" s="83"/>
      <c r="O125" s="83"/>
      <c r="P125" s="83"/>
      <c r="Q125" s="83"/>
      <c r="R125" s="83"/>
      <c r="S125" s="83"/>
      <c r="T125" s="83"/>
      <c r="U125" s="83"/>
      <c r="V125" s="83"/>
      <c r="W125" s="83"/>
      <c r="X125" s="83"/>
      <c r="Y125" s="83"/>
      <c r="Z125" s="83"/>
      <c r="AA125" s="83"/>
      <c r="AB125" s="83"/>
      <c r="DP125" s="58"/>
      <c r="DQ125" s="58"/>
    </row>
    <row r="126" spans="1:121" s="52" customFormat="1" ht="13.8">
      <c r="A126" s="55"/>
      <c r="B126" s="87" t="s">
        <v>2</v>
      </c>
      <c r="C126" s="88" t="s">
        <v>4</v>
      </c>
      <c r="D126" s="88" t="s">
        <v>9</v>
      </c>
      <c r="E126" s="89" t="s">
        <v>11</v>
      </c>
      <c r="F126" s="89" t="s">
        <v>3</v>
      </c>
      <c r="G126" s="89"/>
      <c r="H126" s="89"/>
      <c r="I126" s="89" t="s">
        <v>7</v>
      </c>
      <c r="J126" s="83"/>
      <c r="K126" s="83"/>
      <c r="L126" s="83"/>
      <c r="M126" s="106"/>
      <c r="N126" s="83"/>
      <c r="O126" s="83"/>
      <c r="P126" s="83"/>
      <c r="Q126" s="83"/>
      <c r="R126" s="83"/>
      <c r="S126" s="83"/>
      <c r="T126" s="83"/>
      <c r="U126" s="83"/>
      <c r="V126" s="83"/>
      <c r="W126" s="83"/>
      <c r="X126" s="83"/>
      <c r="Y126" s="83"/>
      <c r="Z126" s="83"/>
      <c r="AA126" s="83"/>
      <c r="AB126" s="83"/>
      <c r="DP126" s="58"/>
      <c r="DQ126" s="58"/>
    </row>
    <row r="127" spans="1:121" s="52" customFormat="1">
      <c r="A127" s="55"/>
      <c r="B127" s="113"/>
      <c r="C127" s="113"/>
      <c r="D127" s="84"/>
      <c r="E127" s="113"/>
      <c r="F127" s="113"/>
      <c r="G127" s="113"/>
      <c r="H127" s="113"/>
      <c r="I127" s="113"/>
      <c r="J127" s="83"/>
      <c r="K127" s="83"/>
      <c r="L127" s="83"/>
      <c r="M127" s="106"/>
      <c r="N127" s="83"/>
      <c r="O127" s="83"/>
      <c r="P127" s="83"/>
      <c r="Q127" s="83"/>
      <c r="R127" s="83"/>
      <c r="S127" s="83"/>
      <c r="T127" s="83"/>
      <c r="U127" s="83"/>
      <c r="V127" s="83"/>
      <c r="W127" s="83"/>
      <c r="X127" s="83"/>
      <c r="Y127" s="83"/>
      <c r="Z127" s="83"/>
      <c r="AA127" s="83"/>
      <c r="AB127" s="83"/>
      <c r="DP127" s="58"/>
      <c r="DQ127" s="58"/>
    </row>
    <row r="128" spans="1:121" s="52" customFormat="1" ht="25.2">
      <c r="A128" s="55"/>
      <c r="B128" s="99" t="s">
        <v>129</v>
      </c>
      <c r="C128" s="106" t="s">
        <v>127</v>
      </c>
      <c r="D128" s="305" t="s">
        <v>588</v>
      </c>
      <c r="E128" s="101" t="s">
        <v>8</v>
      </c>
      <c r="F128" s="101" t="s">
        <v>5</v>
      </c>
      <c r="G128" s="101"/>
      <c r="H128" s="101"/>
      <c r="I128" s="101">
        <v>1</v>
      </c>
      <c r="J128" s="83"/>
      <c r="K128" s="83"/>
      <c r="L128" s="83"/>
      <c r="M128" s="83"/>
      <c r="N128" s="83"/>
      <c r="O128" s="83"/>
      <c r="P128" s="83"/>
      <c r="Q128" s="83"/>
      <c r="R128" s="83"/>
      <c r="S128" s="83"/>
      <c r="T128" s="83"/>
      <c r="U128" s="83"/>
      <c r="V128" s="83"/>
      <c r="W128" s="83"/>
      <c r="X128" s="83"/>
      <c r="Y128" s="83"/>
      <c r="Z128" s="83"/>
      <c r="AA128" s="83"/>
      <c r="AB128" s="83"/>
      <c r="DP128" s="58"/>
      <c r="DQ128" s="58"/>
    </row>
    <row r="129" spans="1:121" s="52" customFormat="1" ht="5.0999999999999996" customHeight="1">
      <c r="A129" s="55"/>
      <c r="B129" s="162"/>
      <c r="C129" s="107"/>
      <c r="D129" s="162"/>
      <c r="E129" s="101"/>
      <c r="F129" s="101"/>
      <c r="G129" s="101"/>
      <c r="H129" s="101"/>
      <c r="I129" s="448"/>
      <c r="J129" s="83"/>
      <c r="K129" s="83"/>
      <c r="L129" s="83"/>
      <c r="M129" s="83"/>
      <c r="N129" s="83"/>
      <c r="O129" s="83"/>
      <c r="P129" s="83"/>
      <c r="Q129" s="83"/>
      <c r="R129" s="83"/>
      <c r="S129" s="83"/>
      <c r="T129" s="83"/>
      <c r="U129" s="83"/>
      <c r="V129" s="83"/>
      <c r="W129" s="83"/>
      <c r="X129" s="83"/>
      <c r="Y129" s="83"/>
      <c r="Z129" s="83"/>
      <c r="AA129" s="83"/>
      <c r="AB129" s="83"/>
      <c r="DP129" s="58"/>
      <c r="DQ129" s="58"/>
    </row>
    <row r="130" spans="1:121" s="52" customFormat="1" ht="43.2" customHeight="1">
      <c r="A130" s="55"/>
      <c r="B130" s="99" t="s">
        <v>152</v>
      </c>
      <c r="C130" s="106" t="s">
        <v>128</v>
      </c>
      <c r="D130" s="305" t="s">
        <v>589</v>
      </c>
      <c r="E130" s="101" t="s">
        <v>8</v>
      </c>
      <c r="F130" s="101" t="s">
        <v>5</v>
      </c>
      <c r="G130" s="101"/>
      <c r="H130" s="101"/>
      <c r="I130" s="318">
        <f>IF(AND(ISNUMBER(Napp_bioc),ISNUMBER(Tbioc_int)),IF((Nlapp_grass*Tgr_int/Tbioc_int)&gt;Napp_bioc,Napp_bioc/Nlapp_grass,Tgr_int/Tbioc_int),"??")</f>
        <v>53</v>
      </c>
      <c r="J130" s="83"/>
      <c r="K130" s="83"/>
      <c r="L130" s="83"/>
      <c r="M130" s="83"/>
      <c r="N130" s="83"/>
      <c r="O130" s="83"/>
      <c r="P130" s="83"/>
      <c r="Q130" s="83"/>
      <c r="R130" s="83"/>
      <c r="S130" s="83"/>
      <c r="T130" s="83"/>
      <c r="U130" s="83"/>
      <c r="V130" s="83"/>
      <c r="W130" s="83"/>
      <c r="X130" s="83"/>
      <c r="Y130" s="83"/>
      <c r="Z130" s="83"/>
      <c r="AA130" s="83"/>
      <c r="AB130" s="83"/>
      <c r="DP130" s="58"/>
      <c r="DQ130" s="58"/>
    </row>
    <row r="131" spans="1:121" s="52" customFormat="1" ht="5.0999999999999996" customHeight="1">
      <c r="A131" s="55"/>
      <c r="B131" s="135"/>
      <c r="C131" s="135"/>
      <c r="D131" s="94"/>
      <c r="E131" s="113"/>
      <c r="F131" s="113"/>
      <c r="G131" s="113"/>
      <c r="H131" s="113"/>
      <c r="I131" s="116"/>
      <c r="J131" s="83"/>
      <c r="K131" s="83"/>
      <c r="L131" s="83"/>
      <c r="M131" s="83"/>
      <c r="N131" s="83"/>
      <c r="O131" s="83"/>
      <c r="P131" s="83"/>
      <c r="Q131" s="83"/>
      <c r="R131" s="83"/>
      <c r="S131" s="83"/>
      <c r="T131" s="83"/>
      <c r="U131" s="83"/>
      <c r="V131" s="83"/>
      <c r="W131" s="83"/>
      <c r="X131" s="83"/>
      <c r="Y131" s="83"/>
      <c r="Z131" s="83"/>
      <c r="AA131" s="83"/>
      <c r="AB131" s="83"/>
      <c r="DP131" s="58"/>
      <c r="DQ131" s="58"/>
    </row>
    <row r="132" spans="1:121" s="52" customFormat="1" ht="39.75" customHeight="1">
      <c r="A132" s="55"/>
      <c r="B132" s="99" t="s">
        <v>151</v>
      </c>
      <c r="C132" s="106" t="s">
        <v>103</v>
      </c>
      <c r="D132" s="99" t="s">
        <v>332</v>
      </c>
      <c r="E132" s="92" t="s">
        <v>8</v>
      </c>
      <c r="F132" s="92" t="s">
        <v>50</v>
      </c>
      <c r="G132" s="92"/>
      <c r="H132" s="92"/>
      <c r="I132" s="146" t="str">
        <f>IF(AND(ISNUMBER(Fbioc),ISNUMBER(Fdil)),0.001*Fbioc*Vreserv*Fdil,"??")</f>
        <v>??</v>
      </c>
      <c r="J132" s="83"/>
      <c r="K132" s="83"/>
      <c r="L132" s="83"/>
      <c r="M132" s="83"/>
      <c r="N132" s="83"/>
      <c r="O132" s="83"/>
      <c r="P132" s="83"/>
      <c r="Q132" s="83"/>
      <c r="R132" s="83"/>
      <c r="S132" s="83"/>
      <c r="T132" s="83"/>
      <c r="U132" s="83"/>
      <c r="V132" s="83"/>
      <c r="W132" s="83"/>
      <c r="X132" s="83"/>
      <c r="Y132" s="83"/>
      <c r="Z132" s="83"/>
      <c r="AA132" s="83"/>
      <c r="AB132" s="83"/>
    </row>
    <row r="133" spans="1:121" s="52" customFormat="1" ht="5.0999999999999996" customHeight="1">
      <c r="A133" s="55"/>
      <c r="B133" s="96"/>
      <c r="C133" s="96"/>
      <c r="D133" s="96"/>
      <c r="E133" s="96"/>
      <c r="F133" s="83"/>
      <c r="G133" s="83"/>
      <c r="H133" s="83"/>
      <c r="I133" s="116"/>
      <c r="J133" s="83"/>
      <c r="K133" s="83"/>
      <c r="L133" s="83"/>
      <c r="M133" s="106"/>
      <c r="N133" s="83"/>
      <c r="O133" s="83"/>
      <c r="P133" s="83"/>
      <c r="Q133" s="83"/>
      <c r="R133" s="83"/>
      <c r="S133" s="83"/>
      <c r="T133" s="83"/>
      <c r="U133" s="83"/>
      <c r="V133" s="83"/>
      <c r="W133" s="83"/>
      <c r="X133" s="83"/>
      <c r="Y133" s="83"/>
      <c r="Z133" s="83"/>
      <c r="AA133" s="83"/>
      <c r="AB133" s="83"/>
    </row>
    <row r="134" spans="1:121" s="52" customFormat="1">
      <c r="A134" s="55"/>
      <c r="B134" s="494" t="s">
        <v>130</v>
      </c>
      <c r="C134" s="494"/>
      <c r="D134" s="83"/>
      <c r="E134" s="83"/>
      <c r="F134" s="83"/>
      <c r="G134" s="83"/>
      <c r="H134" s="83"/>
      <c r="I134" s="114"/>
      <c r="J134" s="83"/>
      <c r="K134" s="83"/>
      <c r="L134" s="83"/>
      <c r="M134" s="106"/>
      <c r="N134" s="83"/>
      <c r="O134" s="83"/>
      <c r="P134" s="83"/>
      <c r="Q134" s="83"/>
      <c r="R134" s="83"/>
      <c r="S134" s="83"/>
      <c r="T134" s="83"/>
      <c r="U134" s="83"/>
      <c r="V134" s="83"/>
      <c r="W134" s="83"/>
      <c r="X134" s="83"/>
      <c r="Y134" s="83"/>
      <c r="Z134" s="83"/>
      <c r="AA134" s="83"/>
      <c r="AB134" s="83"/>
    </row>
    <row r="135" spans="1:121" s="52" customFormat="1">
      <c r="A135" s="55"/>
      <c r="B135" s="172" t="s">
        <v>140</v>
      </c>
      <c r="C135" s="119" t="s">
        <v>104</v>
      </c>
      <c r="D135" s="93" t="s">
        <v>106</v>
      </c>
      <c r="E135" s="92" t="s">
        <v>8</v>
      </c>
      <c r="F135" s="92" t="s">
        <v>50</v>
      </c>
      <c r="G135" s="92"/>
      <c r="H135" s="92"/>
      <c r="I135" s="146" t="str">
        <f>IF(AND(ISNUMBER(Fmanure_slurry), ISNUMBER(Qai_prescr)),Fmanure_slurry* Qai_prescr,"??")</f>
        <v>??</v>
      </c>
      <c r="J135" s="83"/>
      <c r="K135" s="83"/>
      <c r="L135" s="83"/>
      <c r="M135" s="83"/>
      <c r="N135" s="83"/>
      <c r="O135" s="83"/>
      <c r="P135" s="83"/>
      <c r="Q135" s="83"/>
      <c r="R135" s="83"/>
      <c r="S135" s="83"/>
      <c r="T135" s="83"/>
      <c r="U135" s="83"/>
      <c r="V135" s="83"/>
      <c r="W135" s="83"/>
      <c r="X135" s="83"/>
      <c r="Y135" s="83"/>
      <c r="Z135" s="83"/>
      <c r="AA135" s="83"/>
      <c r="AB135" s="83"/>
    </row>
    <row r="136" spans="1:121" s="52" customFormat="1">
      <c r="A136" s="55"/>
      <c r="B136" s="172" t="s">
        <v>79</v>
      </c>
      <c r="C136" s="119" t="s">
        <v>105</v>
      </c>
      <c r="D136" s="93" t="s">
        <v>107</v>
      </c>
      <c r="E136" s="92" t="s">
        <v>8</v>
      </c>
      <c r="F136" s="92" t="s">
        <v>50</v>
      </c>
      <c r="G136" s="92"/>
      <c r="H136" s="92"/>
      <c r="I136" s="146" t="str">
        <f>IF(AND(ISNUMBER(Fwastewater),ISNUMBER(Qai_prescr)), Fwastewater*Qai_prescr,"??")</f>
        <v>??</v>
      </c>
      <c r="J136" s="83"/>
      <c r="K136" s="83"/>
      <c r="L136" s="83"/>
      <c r="M136" s="83"/>
      <c r="N136" s="83"/>
      <c r="O136" s="83"/>
      <c r="P136" s="83"/>
      <c r="Q136" s="83"/>
      <c r="R136" s="83"/>
      <c r="S136" s="83"/>
      <c r="T136" s="83"/>
      <c r="U136" s="83"/>
      <c r="V136" s="83"/>
      <c r="W136" s="83"/>
      <c r="X136" s="83"/>
      <c r="Y136" s="83"/>
      <c r="Z136" s="83"/>
      <c r="AA136" s="83"/>
      <c r="AB136" s="83"/>
    </row>
    <row r="137" spans="1:121" s="52" customFormat="1">
      <c r="A137" s="55"/>
      <c r="B137" s="120"/>
      <c r="C137" s="120"/>
      <c r="D137" s="93"/>
      <c r="E137" s="83"/>
      <c r="F137" s="106"/>
      <c r="G137" s="106"/>
      <c r="H137" s="106"/>
      <c r="I137" s="121"/>
      <c r="J137" s="83"/>
      <c r="K137" s="83"/>
      <c r="L137" s="83"/>
      <c r="M137" s="83"/>
      <c r="N137" s="83"/>
      <c r="O137" s="83"/>
      <c r="P137" s="83"/>
      <c r="Q137" s="83"/>
      <c r="R137" s="83"/>
      <c r="S137" s="83"/>
      <c r="T137" s="83"/>
      <c r="U137" s="83"/>
      <c r="V137" s="83"/>
      <c r="W137" s="83"/>
      <c r="X137" s="83"/>
      <c r="Y137" s="83"/>
      <c r="Z137" s="83"/>
      <c r="AA137" s="83"/>
      <c r="AB137" s="83"/>
    </row>
    <row r="138" spans="1:121" s="52" customFormat="1" ht="49.5" customHeight="1">
      <c r="A138" s="55"/>
      <c r="B138" s="99" t="s">
        <v>143</v>
      </c>
      <c r="C138" s="83" t="s">
        <v>145</v>
      </c>
      <c r="D138" s="123" t="s">
        <v>146</v>
      </c>
      <c r="E138" s="92" t="s">
        <v>8</v>
      </c>
      <c r="F138" s="92" t="s">
        <v>50</v>
      </c>
      <c r="G138" s="92"/>
      <c r="H138" s="92"/>
      <c r="I138" s="146" t="str">
        <f>IF(AND(ISNUMBER(I135),ISNUMBER(Napp_manure_gr)),I135*Napp_manure_gr,"??")</f>
        <v>??</v>
      </c>
      <c r="J138" s="83"/>
      <c r="K138" s="83"/>
      <c r="L138" s="83"/>
      <c r="M138" s="83"/>
      <c r="N138" s="83"/>
      <c r="O138" s="83"/>
      <c r="P138" s="83"/>
      <c r="Q138" s="83"/>
      <c r="R138" s="83"/>
      <c r="S138" s="83"/>
      <c r="T138" s="83"/>
      <c r="U138" s="83"/>
      <c r="V138" s="83"/>
      <c r="W138" s="83"/>
      <c r="X138" s="83"/>
      <c r="Y138" s="83"/>
      <c r="Z138" s="83"/>
      <c r="AA138" s="83"/>
      <c r="AB138" s="83"/>
    </row>
    <row r="139" spans="1:121" s="52" customFormat="1" ht="3" customHeight="1">
      <c r="A139" s="55"/>
      <c r="B139" s="124"/>
      <c r="C139" s="83"/>
      <c r="D139" s="84"/>
      <c r="E139" s="92"/>
      <c r="F139" s="92"/>
      <c r="G139" s="92"/>
      <c r="H139" s="92"/>
      <c r="I139" s="121"/>
      <c r="J139" s="83"/>
      <c r="K139" s="83"/>
      <c r="L139" s="83"/>
      <c r="M139" s="83"/>
      <c r="N139" s="83"/>
      <c r="O139" s="83"/>
      <c r="P139" s="83"/>
      <c r="Q139" s="83"/>
      <c r="R139" s="83"/>
      <c r="S139" s="83"/>
      <c r="T139" s="83"/>
      <c r="U139" s="83"/>
      <c r="V139" s="83"/>
      <c r="W139" s="83"/>
      <c r="X139" s="83"/>
      <c r="Y139" s="83"/>
      <c r="Z139" s="83"/>
      <c r="AA139" s="83"/>
      <c r="AB139" s="83"/>
    </row>
    <row r="140" spans="1:121" s="52" customFormat="1" ht="37.799999999999997">
      <c r="A140" s="55"/>
      <c r="B140" s="99" t="s">
        <v>147</v>
      </c>
      <c r="C140" s="83" t="s">
        <v>148</v>
      </c>
      <c r="D140" s="123" t="s">
        <v>150</v>
      </c>
      <c r="E140" s="92" t="s">
        <v>8</v>
      </c>
      <c r="F140" s="92" t="s">
        <v>50</v>
      </c>
      <c r="G140" s="92"/>
      <c r="H140" s="92"/>
      <c r="I140" s="146" t="str">
        <f>IF(AND(ISNUMBER(I135),ISNUMBER(Napp_manure_ar)),I135*Napp_manure_ar,"??")</f>
        <v>??</v>
      </c>
      <c r="J140" s="83"/>
      <c r="K140" s="83"/>
      <c r="L140" s="83"/>
      <c r="M140" s="83"/>
      <c r="N140" s="83"/>
      <c r="O140" s="83"/>
      <c r="P140" s="83"/>
      <c r="Q140" s="83"/>
      <c r="R140" s="83"/>
      <c r="S140" s="83"/>
      <c r="T140" s="83"/>
      <c r="U140" s="83"/>
      <c r="V140" s="83"/>
      <c r="W140" s="83"/>
      <c r="X140" s="83"/>
      <c r="Y140" s="83"/>
      <c r="Z140" s="83"/>
      <c r="AA140" s="83"/>
      <c r="AB140" s="83"/>
    </row>
    <row r="141" spans="1:121" s="52" customFormat="1">
      <c r="A141" s="55"/>
      <c r="B141" s="99"/>
      <c r="C141" s="83"/>
      <c r="D141" s="123"/>
      <c r="E141" s="92"/>
      <c r="F141" s="92"/>
      <c r="G141" s="92"/>
      <c r="H141" s="92"/>
      <c r="I141" s="83"/>
      <c r="J141" s="83"/>
      <c r="K141" s="83"/>
      <c r="L141" s="83"/>
      <c r="M141" s="83"/>
      <c r="N141" s="83"/>
      <c r="O141" s="83"/>
      <c r="P141" s="83"/>
      <c r="Q141" s="83"/>
      <c r="R141" s="83"/>
      <c r="S141" s="83"/>
      <c r="T141" s="83"/>
      <c r="U141" s="83"/>
      <c r="V141" s="83"/>
      <c r="W141" s="83"/>
      <c r="X141" s="83"/>
      <c r="Y141" s="83"/>
      <c r="Z141" s="83"/>
      <c r="AA141" s="83"/>
      <c r="AB141" s="83"/>
    </row>
    <row r="142" spans="1:121" s="52" customFormat="1" ht="102">
      <c r="A142" s="55"/>
      <c r="B142" s="96"/>
      <c r="C142" s="83"/>
      <c r="D142" s="96"/>
      <c r="E142" s="92"/>
      <c r="F142" s="92"/>
      <c r="G142" s="92"/>
      <c r="H142" s="92"/>
      <c r="I142" s="461" t="s">
        <v>15</v>
      </c>
      <c r="J142" s="461" t="s">
        <v>91</v>
      </c>
      <c r="K142" s="461" t="s">
        <v>14</v>
      </c>
      <c r="L142" s="461" t="s">
        <v>92</v>
      </c>
      <c r="M142" s="461" t="s">
        <v>16</v>
      </c>
      <c r="N142" s="461" t="s">
        <v>17</v>
      </c>
      <c r="O142" s="461" t="s">
        <v>18</v>
      </c>
      <c r="P142" s="461" t="s">
        <v>19</v>
      </c>
      <c r="Q142" s="461" t="s">
        <v>20</v>
      </c>
      <c r="R142" s="461" t="s">
        <v>21</v>
      </c>
      <c r="S142" s="461" t="s">
        <v>52</v>
      </c>
      <c r="T142" s="461" t="s">
        <v>22</v>
      </c>
      <c r="U142" s="461" t="s">
        <v>23</v>
      </c>
      <c r="V142" s="461" t="s">
        <v>24</v>
      </c>
      <c r="W142" s="461" t="s">
        <v>25</v>
      </c>
      <c r="X142" s="461" t="s">
        <v>26</v>
      </c>
      <c r="Y142" s="461" t="s">
        <v>27</v>
      </c>
      <c r="Z142" s="461" t="s">
        <v>28</v>
      </c>
      <c r="AA142" s="461" t="s">
        <v>29</v>
      </c>
      <c r="AB142" s="461" t="s">
        <v>30</v>
      </c>
    </row>
    <row r="143" spans="1:121" s="55" customFormat="1">
      <c r="B143" s="96"/>
      <c r="C143" s="83"/>
      <c r="D143" s="96"/>
      <c r="E143" s="92"/>
      <c r="F143" s="92"/>
      <c r="G143" s="92"/>
      <c r="H143" s="92"/>
      <c r="I143" s="460"/>
      <c r="J143" s="460"/>
      <c r="K143" s="460"/>
      <c r="L143" s="460"/>
      <c r="M143" s="460"/>
      <c r="N143" s="460"/>
      <c r="O143" s="460"/>
      <c r="P143" s="460"/>
      <c r="Q143" s="460"/>
      <c r="R143" s="460"/>
      <c r="S143" s="460"/>
      <c r="T143" s="460"/>
      <c r="U143" s="460"/>
      <c r="V143" s="460"/>
      <c r="W143" s="460"/>
      <c r="X143" s="460"/>
      <c r="Y143" s="460"/>
      <c r="Z143" s="460"/>
      <c r="AA143" s="460"/>
      <c r="AB143" s="460"/>
    </row>
    <row r="144" spans="1:121" s="52" customFormat="1" ht="37.799999999999997">
      <c r="A144" s="55"/>
      <c r="B144" s="93" t="s">
        <v>113</v>
      </c>
      <c r="C144" s="83" t="s">
        <v>108</v>
      </c>
      <c r="D144" s="100" t="s">
        <v>126</v>
      </c>
      <c r="E144" s="92" t="s">
        <v>8</v>
      </c>
      <c r="F144" s="92" t="s">
        <v>50</v>
      </c>
      <c r="G144" s="92"/>
      <c r="H144" s="92"/>
      <c r="I144" s="143">
        <f t="shared" ref="I144:AB144" si="0">I122*I120*Tgr_int</f>
        <v>1796.17</v>
      </c>
      <c r="J144" s="143">
        <f t="shared" si="0"/>
        <v>758.74800000000005</v>
      </c>
      <c r="K144" s="143">
        <f t="shared" si="0"/>
        <v>1909.25875</v>
      </c>
      <c r="L144" s="143">
        <f t="shared" si="0"/>
        <v>852.17374999999993</v>
      </c>
      <c r="M144" s="143">
        <f t="shared" si="0"/>
        <v>100.99680000000001</v>
      </c>
      <c r="N144" s="143">
        <f t="shared" si="0"/>
        <v>497.13576</v>
      </c>
      <c r="O144" s="143">
        <f t="shared" si="0"/>
        <v>497.13576</v>
      </c>
      <c r="P144" s="143">
        <f t="shared" si="0"/>
        <v>645.11599999999999</v>
      </c>
      <c r="Q144" s="143">
        <f t="shared" si="0"/>
        <v>2248.2600000000002</v>
      </c>
      <c r="R144" s="143">
        <f t="shared" si="0"/>
        <v>2014.53</v>
      </c>
      <c r="S144" s="143">
        <f t="shared" si="0"/>
        <v>2014.53</v>
      </c>
      <c r="T144" s="143">
        <f t="shared" si="0"/>
        <v>2014.53</v>
      </c>
      <c r="U144" s="143">
        <f t="shared" si="0"/>
        <v>906.29999999999984</v>
      </c>
      <c r="V144" s="143">
        <f t="shared" si="0"/>
        <v>1653.6</v>
      </c>
      <c r="W144" s="143">
        <f t="shared" si="0"/>
        <v>1812.5999999999997</v>
      </c>
      <c r="X144" s="143">
        <f t="shared" si="0"/>
        <v>1105.58</v>
      </c>
      <c r="Y144" s="143">
        <f t="shared" si="0"/>
        <v>653.4899999999999</v>
      </c>
      <c r="Z144" s="143">
        <f t="shared" si="0"/>
        <v>2554.6</v>
      </c>
      <c r="AA144" s="143">
        <f t="shared" si="0"/>
        <v>1452.1999999999998</v>
      </c>
      <c r="AB144" s="143">
        <f t="shared" si="0"/>
        <v>2554.6</v>
      </c>
    </row>
    <row r="145" spans="1:121" s="52" customFormat="1" ht="5.0999999999999996" customHeight="1">
      <c r="A145" s="55"/>
      <c r="B145" s="96"/>
      <c r="C145" s="83"/>
      <c r="D145" s="100"/>
      <c r="E145" s="92"/>
      <c r="F145" s="92"/>
      <c r="G145" s="92"/>
      <c r="H145" s="92"/>
      <c r="I145" s="83"/>
      <c r="J145" s="83"/>
      <c r="K145" s="83"/>
      <c r="L145" s="83"/>
      <c r="M145" s="83"/>
      <c r="N145" s="83"/>
      <c r="O145" s="83"/>
      <c r="P145" s="83"/>
      <c r="Q145" s="83"/>
      <c r="R145" s="83"/>
      <c r="S145" s="83"/>
      <c r="T145" s="83"/>
      <c r="U145" s="83"/>
      <c r="V145" s="83"/>
      <c r="W145" s="83"/>
      <c r="X145" s="83"/>
      <c r="Y145" s="83"/>
      <c r="Z145" s="83"/>
      <c r="AA145" s="83"/>
      <c r="AB145" s="83"/>
    </row>
    <row r="146" spans="1:121" s="52" customFormat="1" ht="37.799999999999997">
      <c r="A146" s="55"/>
      <c r="B146" s="93" t="s">
        <v>114</v>
      </c>
      <c r="C146" s="83" t="s">
        <v>109</v>
      </c>
      <c r="D146" s="359" t="s">
        <v>587</v>
      </c>
      <c r="E146" s="92" t="s">
        <v>8</v>
      </c>
      <c r="F146" s="92" t="s">
        <v>50</v>
      </c>
      <c r="G146" s="92"/>
      <c r="H146" s="125"/>
      <c r="I146" s="143">
        <f t="shared" ref="I146:AB146" si="1">I122*I120*Tbioc_int</f>
        <v>33.89</v>
      </c>
      <c r="J146" s="143">
        <f t="shared" si="1"/>
        <v>14.316000000000001</v>
      </c>
      <c r="K146" s="143">
        <f t="shared" si="1"/>
        <v>36.02375</v>
      </c>
      <c r="L146" s="143">
        <f t="shared" si="1"/>
        <v>16.078749999999999</v>
      </c>
      <c r="M146" s="143">
        <f t="shared" si="1"/>
        <v>1.9056000000000002</v>
      </c>
      <c r="N146" s="143">
        <f t="shared" si="1"/>
        <v>9.3799200000000003</v>
      </c>
      <c r="O146" s="143">
        <f t="shared" si="1"/>
        <v>9.3799200000000003</v>
      </c>
      <c r="P146" s="143">
        <f t="shared" si="1"/>
        <v>12.171999999999999</v>
      </c>
      <c r="Q146" s="143">
        <f t="shared" si="1"/>
        <v>42.42</v>
      </c>
      <c r="R146" s="143">
        <f t="shared" si="1"/>
        <v>38.01</v>
      </c>
      <c r="S146" s="143">
        <f t="shared" si="1"/>
        <v>38.01</v>
      </c>
      <c r="T146" s="143">
        <f t="shared" si="1"/>
        <v>38.01</v>
      </c>
      <c r="U146" s="143">
        <f t="shared" si="1"/>
        <v>17.099999999999998</v>
      </c>
      <c r="V146" s="143">
        <f t="shared" si="1"/>
        <v>31.2</v>
      </c>
      <c r="W146" s="143">
        <f t="shared" si="1"/>
        <v>34.199999999999996</v>
      </c>
      <c r="X146" s="143">
        <f t="shared" si="1"/>
        <v>20.86</v>
      </c>
      <c r="Y146" s="143">
        <f t="shared" si="1"/>
        <v>12.329999999999998</v>
      </c>
      <c r="Z146" s="143">
        <f t="shared" si="1"/>
        <v>48.199999999999996</v>
      </c>
      <c r="AA146" s="143">
        <f t="shared" si="1"/>
        <v>27.4</v>
      </c>
      <c r="AB146" s="143">
        <f t="shared" si="1"/>
        <v>48.199999999999996</v>
      </c>
    </row>
    <row r="147" spans="1:121" s="52" customFormat="1">
      <c r="A147" s="55"/>
      <c r="B147" s="96"/>
      <c r="C147" s="96"/>
      <c r="D147" s="96"/>
      <c r="E147" s="96"/>
      <c r="F147" s="83"/>
      <c r="G147" s="83"/>
      <c r="H147" s="83"/>
      <c r="I147" s="126"/>
      <c r="J147" s="127"/>
      <c r="K147" s="127"/>
      <c r="L147" s="128"/>
      <c r="M147" s="129"/>
      <c r="N147" s="128"/>
      <c r="O147" s="128"/>
      <c r="P147" s="128"/>
      <c r="Q147" s="128"/>
      <c r="R147" s="128"/>
      <c r="S147" s="128"/>
      <c r="T147" s="128"/>
      <c r="U147" s="128"/>
      <c r="V147" s="128"/>
      <c r="W147" s="128"/>
      <c r="X147" s="128"/>
      <c r="Y147" s="128"/>
      <c r="Z147" s="128"/>
      <c r="AA147" s="128"/>
      <c r="AB147" s="128"/>
    </row>
    <row r="148" spans="1:121" s="52" customFormat="1">
      <c r="A148" s="55"/>
      <c r="B148" s="96"/>
      <c r="C148" s="96"/>
      <c r="D148" s="83"/>
      <c r="E148" s="83"/>
      <c r="F148" s="83"/>
      <c r="G148" s="83"/>
      <c r="H148" s="83"/>
      <c r="I148" s="130"/>
      <c r="J148" s="104"/>
      <c r="K148" s="104"/>
      <c r="L148" s="131"/>
      <c r="M148" s="132"/>
      <c r="N148" s="131"/>
      <c r="O148" s="131"/>
      <c r="P148" s="131"/>
      <c r="Q148" s="131"/>
      <c r="R148" s="131"/>
      <c r="S148" s="131"/>
      <c r="T148" s="131"/>
      <c r="U148" s="131"/>
      <c r="V148" s="131"/>
      <c r="W148" s="131"/>
      <c r="X148" s="131"/>
      <c r="Y148" s="131"/>
      <c r="Z148" s="131"/>
      <c r="AA148" s="131"/>
      <c r="AB148" s="131"/>
    </row>
    <row r="149" spans="1:121" s="52" customFormat="1" ht="16.2">
      <c r="A149" s="55"/>
      <c r="B149" s="80" t="s">
        <v>1</v>
      </c>
      <c r="C149" s="80"/>
      <c r="D149" s="81"/>
      <c r="E149" s="81"/>
      <c r="F149" s="81"/>
      <c r="G149" s="81"/>
      <c r="H149" s="81"/>
      <c r="I149" s="81"/>
      <c r="J149" s="81"/>
      <c r="K149" s="81"/>
      <c r="L149" s="82"/>
      <c r="M149" s="82"/>
      <c r="N149" s="82"/>
      <c r="O149" s="82"/>
      <c r="P149" s="82"/>
      <c r="Q149" s="82"/>
      <c r="R149" s="82"/>
      <c r="S149" s="82"/>
      <c r="T149" s="82"/>
      <c r="U149" s="82"/>
      <c r="V149" s="82"/>
      <c r="W149" s="82"/>
      <c r="X149" s="82"/>
      <c r="Y149" s="82"/>
      <c r="Z149" s="82"/>
      <c r="AA149" s="82"/>
      <c r="AB149" s="82"/>
      <c r="DP149" s="58"/>
      <c r="DQ149" s="58"/>
    </row>
    <row r="150" spans="1:121" s="52" customFormat="1">
      <c r="A150" s="55"/>
      <c r="B150" s="83"/>
      <c r="C150" s="83"/>
      <c r="D150" s="83"/>
      <c r="E150" s="83"/>
      <c r="F150" s="83"/>
      <c r="G150" s="83"/>
      <c r="H150" s="83"/>
      <c r="I150" s="83"/>
      <c r="J150" s="83"/>
      <c r="K150" s="83"/>
      <c r="L150" s="84"/>
      <c r="M150" s="106"/>
      <c r="N150" s="83"/>
      <c r="O150" s="83"/>
      <c r="P150" s="83"/>
      <c r="Q150" s="83"/>
      <c r="R150" s="83"/>
      <c r="S150" s="83"/>
      <c r="T150" s="83"/>
      <c r="U150" s="83"/>
      <c r="V150" s="83"/>
      <c r="W150" s="83"/>
      <c r="X150" s="83"/>
      <c r="Y150" s="83"/>
      <c r="Z150" s="83"/>
      <c r="AA150" s="83"/>
      <c r="AB150" s="83"/>
      <c r="DP150" s="58"/>
      <c r="DQ150" s="58"/>
    </row>
    <row r="151" spans="1:121" s="52" customFormat="1" ht="13.8">
      <c r="A151" s="55"/>
      <c r="B151" s="87" t="s">
        <v>2</v>
      </c>
      <c r="C151" s="88" t="s">
        <v>4</v>
      </c>
      <c r="D151" s="88" t="s">
        <v>9</v>
      </c>
      <c r="E151" s="89" t="s">
        <v>11</v>
      </c>
      <c r="F151" s="89" t="s">
        <v>3</v>
      </c>
      <c r="G151" s="89"/>
      <c r="H151" s="89"/>
      <c r="I151" s="89" t="s">
        <v>7</v>
      </c>
      <c r="J151" s="83"/>
      <c r="K151" s="83"/>
      <c r="L151" s="83"/>
      <c r="M151" s="106"/>
      <c r="N151" s="83"/>
      <c r="O151" s="83"/>
      <c r="P151" s="83"/>
      <c r="Q151" s="83"/>
      <c r="R151" s="83"/>
      <c r="S151" s="83"/>
      <c r="T151" s="83"/>
      <c r="U151" s="83"/>
      <c r="V151" s="83"/>
      <c r="W151" s="83"/>
      <c r="X151" s="83"/>
      <c r="Y151" s="83"/>
      <c r="Z151" s="83"/>
      <c r="AA151" s="83"/>
      <c r="AB151" s="83"/>
      <c r="DP151" s="58"/>
      <c r="DQ151" s="58"/>
    </row>
    <row r="152" spans="1:121" s="52" customFormat="1">
      <c r="A152" s="55"/>
      <c r="B152" s="87"/>
      <c r="C152" s="88"/>
      <c r="D152" s="88"/>
      <c r="E152" s="89"/>
      <c r="F152" s="89"/>
      <c r="G152" s="89"/>
      <c r="H152" s="89"/>
      <c r="I152" s="89"/>
      <c r="J152" s="83"/>
      <c r="K152" s="83"/>
      <c r="L152" s="83"/>
      <c r="M152" s="106"/>
      <c r="N152" s="83"/>
      <c r="O152" s="83"/>
      <c r="P152" s="83"/>
      <c r="Q152" s="83"/>
      <c r="R152" s="83"/>
      <c r="S152" s="83"/>
      <c r="T152" s="83"/>
      <c r="U152" s="83"/>
      <c r="V152" s="83"/>
      <c r="W152" s="83"/>
      <c r="X152" s="83"/>
      <c r="Y152" s="83"/>
      <c r="Z152" s="83"/>
      <c r="AA152" s="83"/>
      <c r="AB152" s="83"/>
      <c r="DP152" s="58"/>
      <c r="DQ152" s="58"/>
    </row>
    <row r="153" spans="1:121" s="52" customFormat="1" ht="17.399999999999999">
      <c r="A153" s="55"/>
      <c r="B153" s="133" t="s">
        <v>93</v>
      </c>
      <c r="C153" s="134"/>
      <c r="D153" s="83"/>
      <c r="E153" s="92"/>
      <c r="F153" s="92"/>
      <c r="G153" s="92"/>
      <c r="H153" s="92"/>
      <c r="I153" s="464"/>
      <c r="J153" s="464"/>
      <c r="K153" s="464"/>
      <c r="L153" s="464"/>
      <c r="M153" s="464"/>
      <c r="N153" s="464"/>
      <c r="O153" s="464"/>
      <c r="P153" s="464"/>
      <c r="Q153" s="464"/>
      <c r="R153" s="464"/>
      <c r="S153" s="464"/>
      <c r="T153" s="464"/>
      <c r="U153" s="464"/>
      <c r="V153" s="464"/>
      <c r="W153" s="464"/>
      <c r="X153" s="464"/>
      <c r="Y153" s="464"/>
      <c r="Z153" s="464"/>
      <c r="AA153" s="464"/>
      <c r="AB153" s="464"/>
    </row>
    <row r="154" spans="1:121" s="52" customFormat="1" ht="50.4">
      <c r="A154" s="55"/>
      <c r="B154" s="363" t="s">
        <v>441</v>
      </c>
      <c r="C154" s="84" t="s">
        <v>415</v>
      </c>
      <c r="D154" s="358" t="s">
        <v>525</v>
      </c>
      <c r="E154" s="92" t="s">
        <v>8</v>
      </c>
      <c r="F154" s="101" t="s">
        <v>115</v>
      </c>
      <c r="G154" s="101"/>
      <c r="H154" s="101"/>
      <c r="I154" s="146" t="str">
        <f t="shared" ref="I154:AB154" si="2">IF(AND(ISNUMBER(Qai_arab),ISNUMBER(I146)),100*Qai_arab*QN_arable/(I146*Nlapp_arab*DEPTHarable*RHOsoilwet),"??")</f>
        <v>??</v>
      </c>
      <c r="J154" s="146" t="str">
        <f t="shared" si="2"/>
        <v>??</v>
      </c>
      <c r="K154" s="146" t="str">
        <f t="shared" si="2"/>
        <v>??</v>
      </c>
      <c r="L154" s="146" t="str">
        <f t="shared" si="2"/>
        <v>??</v>
      </c>
      <c r="M154" s="146" t="str">
        <f t="shared" si="2"/>
        <v>??</v>
      </c>
      <c r="N154" s="146" t="str">
        <f t="shared" si="2"/>
        <v>??</v>
      </c>
      <c r="O154" s="146" t="str">
        <f t="shared" si="2"/>
        <v>??</v>
      </c>
      <c r="P154" s="146" t="str">
        <f t="shared" si="2"/>
        <v>??</v>
      </c>
      <c r="Q154" s="146" t="str">
        <f t="shared" si="2"/>
        <v>??</v>
      </c>
      <c r="R154" s="146" t="str">
        <f t="shared" si="2"/>
        <v>??</v>
      </c>
      <c r="S154" s="146" t="str">
        <f t="shared" si="2"/>
        <v>??</v>
      </c>
      <c r="T154" s="146" t="str">
        <f t="shared" si="2"/>
        <v>??</v>
      </c>
      <c r="U154" s="146" t="str">
        <f t="shared" si="2"/>
        <v>??</v>
      </c>
      <c r="V154" s="146" t="str">
        <f t="shared" si="2"/>
        <v>??</v>
      </c>
      <c r="W154" s="146" t="str">
        <f t="shared" si="2"/>
        <v>??</v>
      </c>
      <c r="X154" s="146" t="str">
        <f t="shared" si="2"/>
        <v>??</v>
      </c>
      <c r="Y154" s="146" t="str">
        <f t="shared" si="2"/>
        <v>??</v>
      </c>
      <c r="Z154" s="146" t="str">
        <f t="shared" si="2"/>
        <v>??</v>
      </c>
      <c r="AA154" s="146" t="str">
        <f t="shared" si="2"/>
        <v>??</v>
      </c>
      <c r="AB154" s="146" t="str">
        <f t="shared" si="2"/>
        <v>??</v>
      </c>
    </row>
    <row r="155" spans="1:121" s="52" customFormat="1" ht="3" customHeight="1">
      <c r="A155" s="55"/>
      <c r="B155" s="100"/>
      <c r="C155" s="83"/>
      <c r="D155" s="96"/>
      <c r="E155" s="92"/>
      <c r="F155" s="101"/>
      <c r="G155" s="101"/>
      <c r="H155" s="101"/>
      <c r="I155" s="147"/>
      <c r="J155" s="147"/>
      <c r="K155" s="147"/>
      <c r="L155" s="147"/>
      <c r="M155" s="148"/>
      <c r="N155" s="147"/>
      <c r="O155" s="147"/>
      <c r="P155" s="147"/>
      <c r="Q155" s="147"/>
      <c r="R155" s="147"/>
      <c r="S155" s="147"/>
      <c r="T155" s="147"/>
      <c r="U155" s="147"/>
      <c r="V155" s="147"/>
      <c r="W155" s="147"/>
      <c r="X155" s="147"/>
      <c r="Y155" s="147"/>
      <c r="Z155" s="147"/>
      <c r="AA155" s="147"/>
      <c r="AB155" s="147"/>
    </row>
    <row r="156" spans="1:121" s="52" customFormat="1" ht="15" customHeight="1">
      <c r="A156" s="55"/>
      <c r="B156" s="364" t="s">
        <v>442</v>
      </c>
      <c r="C156" s="83"/>
      <c r="D156" s="96"/>
      <c r="E156" s="92"/>
      <c r="F156" s="101"/>
      <c r="G156" s="101"/>
      <c r="H156" s="101"/>
      <c r="I156" s="149"/>
      <c r="J156" s="149"/>
      <c r="K156" s="149"/>
      <c r="L156" s="149"/>
      <c r="M156" s="150"/>
      <c r="N156" s="149"/>
      <c r="O156" s="149"/>
      <c r="P156" s="149"/>
      <c r="Q156" s="149"/>
      <c r="R156" s="149"/>
      <c r="S156" s="149"/>
      <c r="T156" s="149"/>
      <c r="U156" s="149"/>
      <c r="V156" s="149"/>
      <c r="W156" s="149"/>
      <c r="X156" s="149"/>
      <c r="Y156" s="149"/>
      <c r="Z156" s="149"/>
      <c r="AA156" s="149"/>
      <c r="AB156" s="149"/>
    </row>
    <row r="157" spans="1:121" s="52" customFormat="1" ht="50.4">
      <c r="A157" s="55"/>
      <c r="B157" s="363" t="s">
        <v>443</v>
      </c>
      <c r="C157" s="83" t="s">
        <v>428</v>
      </c>
      <c r="D157" s="359" t="s">
        <v>526</v>
      </c>
      <c r="E157" s="92" t="s">
        <v>8</v>
      </c>
      <c r="F157" s="101" t="s">
        <v>115</v>
      </c>
      <c r="G157" s="101"/>
      <c r="H157" s="101"/>
      <c r="I157" s="146" t="str">
        <f t="shared" ref="I157:AB157" si="3">IF(ISNUMBER(k_ar),IF(AND(k_ar&gt;0,ISNUMBER(I154)),I154*(1-POWER(EXP(-k_ar*Tar_int_10),Nlapp_arab_10))/(1-EXP(-k_ar*Tar_int_10)),"??"),"??")</f>
        <v>??</v>
      </c>
      <c r="J157" s="146" t="str">
        <f t="shared" si="3"/>
        <v>??</v>
      </c>
      <c r="K157" s="146" t="str">
        <f t="shared" si="3"/>
        <v>??</v>
      </c>
      <c r="L157" s="146" t="str">
        <f t="shared" si="3"/>
        <v>??</v>
      </c>
      <c r="M157" s="146" t="str">
        <f t="shared" si="3"/>
        <v>??</v>
      </c>
      <c r="N157" s="146" t="str">
        <f t="shared" si="3"/>
        <v>??</v>
      </c>
      <c r="O157" s="146" t="str">
        <f t="shared" si="3"/>
        <v>??</v>
      </c>
      <c r="P157" s="146" t="str">
        <f t="shared" si="3"/>
        <v>??</v>
      </c>
      <c r="Q157" s="146" t="str">
        <f t="shared" si="3"/>
        <v>??</v>
      </c>
      <c r="R157" s="146" t="str">
        <f t="shared" si="3"/>
        <v>??</v>
      </c>
      <c r="S157" s="146" t="str">
        <f t="shared" si="3"/>
        <v>??</v>
      </c>
      <c r="T157" s="146" t="str">
        <f t="shared" si="3"/>
        <v>??</v>
      </c>
      <c r="U157" s="146" t="str">
        <f t="shared" si="3"/>
        <v>??</v>
      </c>
      <c r="V157" s="146" t="str">
        <f t="shared" si="3"/>
        <v>??</v>
      </c>
      <c r="W157" s="146" t="str">
        <f t="shared" si="3"/>
        <v>??</v>
      </c>
      <c r="X157" s="146" t="str">
        <f t="shared" si="3"/>
        <v>??</v>
      </c>
      <c r="Y157" s="146" t="str">
        <f t="shared" si="3"/>
        <v>??</v>
      </c>
      <c r="Z157" s="146" t="str">
        <f t="shared" si="3"/>
        <v>??</v>
      </c>
      <c r="AA157" s="146" t="str">
        <f t="shared" si="3"/>
        <v>??</v>
      </c>
      <c r="AB157" s="146" t="str">
        <f t="shared" si="3"/>
        <v>??</v>
      </c>
    </row>
    <row r="158" spans="1:121" s="52" customFormat="1" ht="3" customHeight="1">
      <c r="A158" s="55"/>
      <c r="B158" s="113"/>
      <c r="C158" s="113"/>
      <c r="D158" s="136"/>
      <c r="E158" s="113"/>
      <c r="F158" s="113"/>
      <c r="G158" s="113"/>
      <c r="H158" s="113"/>
      <c r="I158" s="151"/>
      <c r="J158" s="151"/>
      <c r="K158" s="151"/>
      <c r="L158" s="152"/>
      <c r="M158" s="148"/>
      <c r="N158" s="147"/>
      <c r="O158" s="147"/>
      <c r="P158" s="147"/>
      <c r="Q158" s="147"/>
      <c r="R158" s="147"/>
      <c r="S158" s="147"/>
      <c r="T158" s="147"/>
      <c r="U158" s="147"/>
      <c r="V158" s="147"/>
      <c r="W158" s="147"/>
      <c r="X158" s="147"/>
      <c r="Y158" s="147"/>
      <c r="Z158" s="147"/>
      <c r="AA158" s="147"/>
      <c r="AB158" s="147"/>
      <c r="DP158" s="58"/>
      <c r="DQ158" s="58"/>
    </row>
    <row r="159" spans="1:121" s="52" customFormat="1" ht="40.200000000000003">
      <c r="A159" s="55"/>
      <c r="B159" s="305" t="s">
        <v>426</v>
      </c>
      <c r="C159" s="106" t="s">
        <v>515</v>
      </c>
      <c r="D159" s="359" t="s">
        <v>527</v>
      </c>
      <c r="E159" s="92" t="s">
        <v>8</v>
      </c>
      <c r="F159" s="101" t="s">
        <v>115</v>
      </c>
      <c r="G159" s="101"/>
      <c r="H159" s="113"/>
      <c r="I159" s="146" t="str">
        <f t="shared" ref="I159:AB159" si="4">IF(ISNUMBER(I157),+I157*(1-EXP(-k_ar*30))/(k_ar*30),"??")</f>
        <v>??</v>
      </c>
      <c r="J159" s="146" t="str">
        <f t="shared" si="4"/>
        <v>??</v>
      </c>
      <c r="K159" s="146" t="str">
        <f t="shared" si="4"/>
        <v>??</v>
      </c>
      <c r="L159" s="146" t="str">
        <f t="shared" si="4"/>
        <v>??</v>
      </c>
      <c r="M159" s="146" t="str">
        <f t="shared" si="4"/>
        <v>??</v>
      </c>
      <c r="N159" s="146" t="str">
        <f t="shared" si="4"/>
        <v>??</v>
      </c>
      <c r="O159" s="146" t="str">
        <f t="shared" si="4"/>
        <v>??</v>
      </c>
      <c r="P159" s="146" t="str">
        <f t="shared" si="4"/>
        <v>??</v>
      </c>
      <c r="Q159" s="146" t="str">
        <f t="shared" si="4"/>
        <v>??</v>
      </c>
      <c r="R159" s="146" t="str">
        <f t="shared" si="4"/>
        <v>??</v>
      </c>
      <c r="S159" s="146" t="str">
        <f t="shared" si="4"/>
        <v>??</v>
      </c>
      <c r="T159" s="146" t="str">
        <f t="shared" si="4"/>
        <v>??</v>
      </c>
      <c r="U159" s="146" t="str">
        <f t="shared" si="4"/>
        <v>??</v>
      </c>
      <c r="V159" s="146" t="str">
        <f t="shared" si="4"/>
        <v>??</v>
      </c>
      <c r="W159" s="146" t="str">
        <f t="shared" si="4"/>
        <v>??</v>
      </c>
      <c r="X159" s="146" t="str">
        <f t="shared" si="4"/>
        <v>??</v>
      </c>
      <c r="Y159" s="146" t="str">
        <f t="shared" si="4"/>
        <v>??</v>
      </c>
      <c r="Z159" s="146" t="str">
        <f t="shared" si="4"/>
        <v>??</v>
      </c>
      <c r="AA159" s="146" t="str">
        <f t="shared" si="4"/>
        <v>??</v>
      </c>
      <c r="AB159" s="146" t="str">
        <f t="shared" si="4"/>
        <v>??</v>
      </c>
      <c r="DP159" s="58"/>
      <c r="DQ159" s="58"/>
    </row>
    <row r="160" spans="1:121" s="52" customFormat="1" ht="3" customHeight="1">
      <c r="A160" s="55"/>
      <c r="B160" s="99"/>
      <c r="C160" s="106"/>
      <c r="D160" s="100"/>
      <c r="E160" s="113"/>
      <c r="F160" s="113"/>
      <c r="G160" s="113"/>
      <c r="H160" s="113"/>
      <c r="I160" s="153"/>
      <c r="J160" s="153"/>
      <c r="K160" s="153"/>
      <c r="L160" s="154"/>
      <c r="M160" s="150"/>
      <c r="N160" s="149"/>
      <c r="O160" s="149"/>
      <c r="P160" s="149"/>
      <c r="Q160" s="149"/>
      <c r="R160" s="149"/>
      <c r="S160" s="149"/>
      <c r="T160" s="149"/>
      <c r="U160" s="149"/>
      <c r="V160" s="149"/>
      <c r="W160" s="149"/>
      <c r="X160" s="149"/>
      <c r="Y160" s="149"/>
      <c r="Z160" s="149"/>
      <c r="AA160" s="149"/>
      <c r="AB160" s="149"/>
      <c r="DP160" s="58"/>
      <c r="DQ160" s="58"/>
    </row>
    <row r="161" spans="1:121" s="52" customFormat="1" ht="40.200000000000003">
      <c r="A161" s="55"/>
      <c r="B161" s="305" t="s">
        <v>427</v>
      </c>
      <c r="C161" s="106" t="s">
        <v>516</v>
      </c>
      <c r="D161" s="359" t="s">
        <v>528</v>
      </c>
      <c r="E161" s="92" t="s">
        <v>8</v>
      </c>
      <c r="F161" s="101" t="s">
        <v>115</v>
      </c>
      <c r="G161" s="113"/>
      <c r="H161" s="113"/>
      <c r="I161" s="146" t="str">
        <f t="shared" ref="I161:AB161" si="5">IF(ISNUMBER(I157),+I157*(1-EXP(-k_ar*180))/(k_ar*180),"??")</f>
        <v>??</v>
      </c>
      <c r="J161" s="146" t="str">
        <f t="shared" si="5"/>
        <v>??</v>
      </c>
      <c r="K161" s="146" t="str">
        <f t="shared" si="5"/>
        <v>??</v>
      </c>
      <c r="L161" s="146" t="str">
        <f t="shared" si="5"/>
        <v>??</v>
      </c>
      <c r="M161" s="146" t="str">
        <f t="shared" si="5"/>
        <v>??</v>
      </c>
      <c r="N161" s="146" t="str">
        <f t="shared" si="5"/>
        <v>??</v>
      </c>
      <c r="O161" s="146" t="str">
        <f t="shared" si="5"/>
        <v>??</v>
      </c>
      <c r="P161" s="146" t="str">
        <f t="shared" si="5"/>
        <v>??</v>
      </c>
      <c r="Q161" s="146" t="str">
        <f t="shared" si="5"/>
        <v>??</v>
      </c>
      <c r="R161" s="146" t="str">
        <f t="shared" si="5"/>
        <v>??</v>
      </c>
      <c r="S161" s="146" t="str">
        <f t="shared" si="5"/>
        <v>??</v>
      </c>
      <c r="T161" s="146" t="str">
        <f t="shared" si="5"/>
        <v>??</v>
      </c>
      <c r="U161" s="146" t="str">
        <f t="shared" si="5"/>
        <v>??</v>
      </c>
      <c r="V161" s="146" t="str">
        <f t="shared" si="5"/>
        <v>??</v>
      </c>
      <c r="W161" s="146" t="str">
        <f t="shared" si="5"/>
        <v>??</v>
      </c>
      <c r="X161" s="146" t="str">
        <f t="shared" si="5"/>
        <v>??</v>
      </c>
      <c r="Y161" s="146" t="str">
        <f t="shared" si="5"/>
        <v>??</v>
      </c>
      <c r="Z161" s="146" t="str">
        <f t="shared" si="5"/>
        <v>??</v>
      </c>
      <c r="AA161" s="146" t="str">
        <f t="shared" si="5"/>
        <v>??</v>
      </c>
      <c r="AB161" s="146" t="str">
        <f t="shared" si="5"/>
        <v>??</v>
      </c>
      <c r="DP161" s="58"/>
      <c r="DQ161" s="58"/>
    </row>
    <row r="162" spans="1:121" s="52" customFormat="1" ht="13.5" customHeight="1">
      <c r="A162" s="55"/>
      <c r="B162" s="100"/>
      <c r="C162" s="83"/>
      <c r="D162" s="96"/>
      <c r="E162" s="113"/>
      <c r="F162" s="113"/>
      <c r="G162" s="113"/>
      <c r="H162" s="113"/>
      <c r="I162" s="153"/>
      <c r="J162" s="153"/>
      <c r="K162" s="153"/>
      <c r="L162" s="154"/>
      <c r="M162" s="150"/>
      <c r="N162" s="149"/>
      <c r="O162" s="149"/>
      <c r="P162" s="149"/>
      <c r="Q162" s="149"/>
      <c r="R162" s="149"/>
      <c r="S162" s="149"/>
      <c r="T162" s="149"/>
      <c r="U162" s="149"/>
      <c r="V162" s="149"/>
      <c r="W162" s="149"/>
      <c r="X162" s="149"/>
      <c r="Y162" s="149"/>
      <c r="Z162" s="149"/>
      <c r="AA162" s="149"/>
      <c r="AB162" s="149"/>
      <c r="DP162" s="58"/>
      <c r="DQ162" s="58"/>
    </row>
    <row r="163" spans="1:121" s="52" customFormat="1" ht="17.399999999999999">
      <c r="A163" s="55"/>
      <c r="B163" s="175" t="s">
        <v>160</v>
      </c>
      <c r="C163" s="160"/>
      <c r="D163" s="96"/>
      <c r="E163" s="92"/>
      <c r="F163" s="101"/>
      <c r="G163" s="101"/>
      <c r="H163" s="105"/>
      <c r="I163" s="83"/>
      <c r="J163" s="83"/>
      <c r="K163" s="83"/>
      <c r="L163" s="83"/>
      <c r="M163" s="106"/>
      <c r="N163" s="83"/>
      <c r="O163" s="83"/>
      <c r="P163" s="83"/>
      <c r="Q163" s="83"/>
      <c r="R163" s="83"/>
      <c r="S163" s="83"/>
      <c r="T163" s="83"/>
      <c r="U163" s="83"/>
      <c r="V163" s="83"/>
      <c r="W163" s="83"/>
      <c r="X163" s="83"/>
      <c r="Y163" s="83"/>
      <c r="Z163" s="83"/>
      <c r="AA163" s="83"/>
      <c r="AB163" s="83"/>
    </row>
    <row r="164" spans="1:121" s="52" customFormat="1" ht="40.200000000000003">
      <c r="A164" s="55"/>
      <c r="B164" s="99" t="s">
        <v>175</v>
      </c>
      <c r="C164" s="86" t="s">
        <v>429</v>
      </c>
      <c r="D164" s="358" t="s">
        <v>529</v>
      </c>
      <c r="E164" s="92" t="s">
        <v>8</v>
      </c>
      <c r="F164" s="338" t="s">
        <v>401</v>
      </c>
      <c r="G164" s="101"/>
      <c r="H164" s="105"/>
      <c r="I164" s="146" t="str">
        <f t="shared" ref="I164:AB164" si="6">IF(AND(ISNUMBER(I161),Ksoil_water&gt;0),I161*RHOsoilwet/Ksoil_water,"??")</f>
        <v>??</v>
      </c>
      <c r="J164" s="146" t="str">
        <f t="shared" si="6"/>
        <v>??</v>
      </c>
      <c r="K164" s="146" t="str">
        <f t="shared" si="6"/>
        <v>??</v>
      </c>
      <c r="L164" s="146" t="str">
        <f t="shared" si="6"/>
        <v>??</v>
      </c>
      <c r="M164" s="146" t="str">
        <f t="shared" si="6"/>
        <v>??</v>
      </c>
      <c r="N164" s="146" t="str">
        <f t="shared" si="6"/>
        <v>??</v>
      </c>
      <c r="O164" s="146" t="str">
        <f t="shared" si="6"/>
        <v>??</v>
      </c>
      <c r="P164" s="146" t="str">
        <f t="shared" si="6"/>
        <v>??</v>
      </c>
      <c r="Q164" s="146" t="str">
        <f t="shared" si="6"/>
        <v>??</v>
      </c>
      <c r="R164" s="146" t="str">
        <f t="shared" si="6"/>
        <v>??</v>
      </c>
      <c r="S164" s="146" t="str">
        <f t="shared" si="6"/>
        <v>??</v>
      </c>
      <c r="T164" s="146" t="str">
        <f t="shared" si="6"/>
        <v>??</v>
      </c>
      <c r="U164" s="146" t="str">
        <f t="shared" si="6"/>
        <v>??</v>
      </c>
      <c r="V164" s="146" t="str">
        <f t="shared" si="6"/>
        <v>??</v>
      </c>
      <c r="W164" s="146" t="str">
        <f t="shared" si="6"/>
        <v>??</v>
      </c>
      <c r="X164" s="146" t="str">
        <f t="shared" si="6"/>
        <v>??</v>
      </c>
      <c r="Y164" s="146" t="str">
        <f t="shared" si="6"/>
        <v>??</v>
      </c>
      <c r="Z164" s="146" t="str">
        <f t="shared" si="6"/>
        <v>??</v>
      </c>
      <c r="AA164" s="146" t="str">
        <f t="shared" si="6"/>
        <v>??</v>
      </c>
      <c r="AB164" s="146" t="str">
        <f t="shared" si="6"/>
        <v>??</v>
      </c>
    </row>
    <row r="165" spans="1:121" s="52" customFormat="1" ht="5.0999999999999996" customHeight="1">
      <c r="A165" s="55"/>
      <c r="B165" s="96"/>
      <c r="C165" s="86"/>
      <c r="D165" s="358"/>
      <c r="E165" s="92"/>
      <c r="F165" s="101"/>
      <c r="G165" s="101"/>
      <c r="H165" s="105"/>
      <c r="I165" s="117"/>
      <c r="J165" s="117"/>
      <c r="K165" s="117"/>
      <c r="L165" s="117"/>
      <c r="M165" s="118"/>
      <c r="N165" s="117"/>
      <c r="O165" s="117"/>
      <c r="P165" s="117"/>
      <c r="Q165" s="117"/>
      <c r="R165" s="117"/>
      <c r="S165" s="117"/>
      <c r="T165" s="117"/>
      <c r="U165" s="117"/>
      <c r="V165" s="117"/>
      <c r="W165" s="117"/>
      <c r="X165" s="117"/>
      <c r="Y165" s="117"/>
      <c r="Z165" s="117"/>
      <c r="AA165" s="117"/>
      <c r="AB165" s="117"/>
    </row>
    <row r="166" spans="1:121" s="52" customFormat="1" ht="27.6">
      <c r="A166" s="55"/>
      <c r="B166" s="93" t="s">
        <v>177</v>
      </c>
      <c r="C166" s="86" t="s">
        <v>430</v>
      </c>
      <c r="D166" s="361" t="s">
        <v>546</v>
      </c>
      <c r="E166" s="92" t="s">
        <v>8</v>
      </c>
      <c r="F166" s="101" t="s">
        <v>456</v>
      </c>
      <c r="G166" s="101"/>
      <c r="H166" s="105"/>
      <c r="I166" s="146" t="str">
        <f t="shared" ref="I166:AB166" si="7">IF(AND(ISNUMBER(I159),ISNUMBER(Ksoil_water)),I159*RHOsoilwet/(Ksoil_water*DILUTION*1000),"??")</f>
        <v>??</v>
      </c>
      <c r="J166" s="146" t="str">
        <f t="shared" si="7"/>
        <v>??</v>
      </c>
      <c r="K166" s="146" t="str">
        <f t="shared" si="7"/>
        <v>??</v>
      </c>
      <c r="L166" s="146" t="str">
        <f t="shared" si="7"/>
        <v>??</v>
      </c>
      <c r="M166" s="146" t="str">
        <f t="shared" si="7"/>
        <v>??</v>
      </c>
      <c r="N166" s="146" t="str">
        <f t="shared" si="7"/>
        <v>??</v>
      </c>
      <c r="O166" s="146" t="str">
        <f t="shared" si="7"/>
        <v>??</v>
      </c>
      <c r="P166" s="146" t="str">
        <f t="shared" si="7"/>
        <v>??</v>
      </c>
      <c r="Q166" s="146" t="str">
        <f t="shared" si="7"/>
        <v>??</v>
      </c>
      <c r="R166" s="146" t="str">
        <f t="shared" si="7"/>
        <v>??</v>
      </c>
      <c r="S166" s="146" t="str">
        <f t="shared" si="7"/>
        <v>??</v>
      </c>
      <c r="T166" s="146" t="str">
        <f t="shared" si="7"/>
        <v>??</v>
      </c>
      <c r="U166" s="146" t="str">
        <f t="shared" si="7"/>
        <v>??</v>
      </c>
      <c r="V166" s="146" t="str">
        <f t="shared" si="7"/>
        <v>??</v>
      </c>
      <c r="W166" s="146" t="str">
        <f t="shared" si="7"/>
        <v>??</v>
      </c>
      <c r="X166" s="146" t="str">
        <f t="shared" si="7"/>
        <v>??</v>
      </c>
      <c r="Y166" s="146" t="str">
        <f t="shared" si="7"/>
        <v>??</v>
      </c>
      <c r="Z166" s="146" t="str">
        <f t="shared" si="7"/>
        <v>??</v>
      </c>
      <c r="AA166" s="146" t="str">
        <f t="shared" si="7"/>
        <v>??</v>
      </c>
      <c r="AB166" s="146" t="str">
        <f t="shared" si="7"/>
        <v>??</v>
      </c>
    </row>
    <row r="167" spans="1:121" s="52" customFormat="1" ht="5.0999999999999996" customHeight="1">
      <c r="A167" s="55"/>
      <c r="B167" s="93"/>
      <c r="C167" s="86"/>
      <c r="D167" s="358"/>
      <c r="E167" s="92"/>
      <c r="F167" s="101"/>
      <c r="G167" s="101"/>
      <c r="H167" s="105"/>
      <c r="I167" s="83"/>
      <c r="J167" s="105"/>
      <c r="K167" s="92"/>
      <c r="L167" s="83"/>
      <c r="M167" s="106"/>
      <c r="N167" s="83"/>
      <c r="O167" s="83"/>
      <c r="P167" s="83"/>
      <c r="Q167" s="83"/>
      <c r="R167" s="83"/>
      <c r="S167" s="83"/>
      <c r="T167" s="83"/>
      <c r="U167" s="83"/>
      <c r="V167" s="83"/>
      <c r="W167" s="83"/>
      <c r="X167" s="83"/>
      <c r="Y167" s="83"/>
      <c r="Z167" s="83"/>
      <c r="AA167" s="83"/>
      <c r="AB167" s="83"/>
    </row>
    <row r="168" spans="1:121" s="52" customFormat="1" ht="27.6">
      <c r="A168" s="55"/>
      <c r="B168" s="99" t="s">
        <v>161</v>
      </c>
      <c r="C168" s="305" t="s">
        <v>173</v>
      </c>
      <c r="D168" s="305" t="s">
        <v>458</v>
      </c>
      <c r="E168" s="174" t="s">
        <v>8</v>
      </c>
      <c r="F168" s="101" t="s">
        <v>115</v>
      </c>
      <c r="G168" s="101"/>
      <c r="H168" s="105"/>
      <c r="I168" s="146" t="str">
        <f t="shared" ref="I168:AB168" si="8">IF(AND(ISNUMBER(I166),ISNUMBER(Ksusp_water)),I166*Ksusp_water*1000/RHOsusp,"??")</f>
        <v>??</v>
      </c>
      <c r="J168" s="146" t="str">
        <f t="shared" si="8"/>
        <v>??</v>
      </c>
      <c r="K168" s="146" t="str">
        <f t="shared" si="8"/>
        <v>??</v>
      </c>
      <c r="L168" s="146" t="str">
        <f t="shared" si="8"/>
        <v>??</v>
      </c>
      <c r="M168" s="146" t="str">
        <f t="shared" si="8"/>
        <v>??</v>
      </c>
      <c r="N168" s="146" t="str">
        <f t="shared" si="8"/>
        <v>??</v>
      </c>
      <c r="O168" s="146" t="str">
        <f t="shared" si="8"/>
        <v>??</v>
      </c>
      <c r="P168" s="146" t="str">
        <f t="shared" si="8"/>
        <v>??</v>
      </c>
      <c r="Q168" s="146" t="str">
        <f t="shared" si="8"/>
        <v>??</v>
      </c>
      <c r="R168" s="146" t="str">
        <f t="shared" si="8"/>
        <v>??</v>
      </c>
      <c r="S168" s="146" t="str">
        <f t="shared" si="8"/>
        <v>??</v>
      </c>
      <c r="T168" s="146" t="str">
        <f t="shared" si="8"/>
        <v>??</v>
      </c>
      <c r="U168" s="146" t="str">
        <f t="shared" si="8"/>
        <v>??</v>
      </c>
      <c r="V168" s="146" t="str">
        <f t="shared" si="8"/>
        <v>??</v>
      </c>
      <c r="W168" s="146" t="str">
        <f t="shared" si="8"/>
        <v>??</v>
      </c>
      <c r="X168" s="146" t="str">
        <f t="shared" si="8"/>
        <v>??</v>
      </c>
      <c r="Y168" s="146" t="str">
        <f t="shared" si="8"/>
        <v>??</v>
      </c>
      <c r="Z168" s="146" t="str">
        <f t="shared" si="8"/>
        <v>??</v>
      </c>
      <c r="AA168" s="146" t="str">
        <f t="shared" si="8"/>
        <v>??</v>
      </c>
      <c r="AB168" s="146" t="str">
        <f t="shared" si="8"/>
        <v>??</v>
      </c>
      <c r="AC168" s="55"/>
    </row>
    <row r="169" spans="1:121" s="52" customFormat="1" ht="13.5" customHeight="1">
      <c r="A169" s="55"/>
      <c r="B169" s="113"/>
      <c r="C169" s="113"/>
      <c r="D169" s="136"/>
      <c r="E169" s="113"/>
      <c r="F169" s="113"/>
      <c r="G169" s="113"/>
      <c r="H169" s="113"/>
      <c r="I169" s="153"/>
      <c r="J169" s="153"/>
      <c r="K169" s="153"/>
      <c r="L169" s="154"/>
      <c r="M169" s="150"/>
      <c r="N169" s="149"/>
      <c r="O169" s="149"/>
      <c r="P169" s="149"/>
      <c r="Q169" s="149"/>
      <c r="R169" s="149"/>
      <c r="S169" s="149"/>
      <c r="T169" s="149"/>
      <c r="U169" s="149"/>
      <c r="V169" s="149"/>
      <c r="W169" s="149"/>
      <c r="X169" s="149"/>
      <c r="Y169" s="149"/>
      <c r="Z169" s="149"/>
      <c r="AA169" s="149"/>
      <c r="AB169" s="149"/>
      <c r="DP169" s="58"/>
      <c r="DQ169" s="58"/>
    </row>
    <row r="170" spans="1:121" s="52" customFormat="1" ht="17.399999999999999">
      <c r="A170" s="55"/>
      <c r="B170" s="133" t="s">
        <v>94</v>
      </c>
      <c r="C170" s="133"/>
      <c r="D170" s="133"/>
      <c r="E170" s="133"/>
      <c r="F170" s="133"/>
      <c r="G170" s="133"/>
      <c r="H170" s="133"/>
      <c r="I170" s="149"/>
      <c r="J170" s="155"/>
      <c r="K170" s="155"/>
      <c r="L170" s="149"/>
      <c r="M170" s="150"/>
      <c r="N170" s="149"/>
      <c r="O170" s="149"/>
      <c r="P170" s="149"/>
      <c r="Q170" s="149"/>
      <c r="R170" s="149"/>
      <c r="S170" s="149"/>
      <c r="T170" s="149"/>
      <c r="U170" s="149"/>
      <c r="V170" s="149"/>
      <c r="W170" s="149"/>
      <c r="X170" s="149"/>
      <c r="Y170" s="149"/>
      <c r="Z170" s="149"/>
      <c r="AA170" s="149"/>
      <c r="AB170" s="149"/>
    </row>
    <row r="171" spans="1:121" s="52" customFormat="1" ht="50.4">
      <c r="A171" s="55"/>
      <c r="B171" s="305" t="s">
        <v>444</v>
      </c>
      <c r="C171" s="83" t="s">
        <v>433</v>
      </c>
      <c r="D171" s="358" t="s">
        <v>531</v>
      </c>
      <c r="E171" s="92" t="s">
        <v>8</v>
      </c>
      <c r="F171" s="101" t="s">
        <v>115</v>
      </c>
      <c r="G171" s="101"/>
      <c r="H171" s="133"/>
      <c r="I171" s="146" t="str">
        <f t="shared" ref="I171:AB171" si="9">IF(AND(ISNUMBER(Qai_grass),ISNUMBER(I144)),100*Qai_grass*QN_grass/(I144*Nlapp_grass*DEPTHgrass*RHOsoilwet),"??")</f>
        <v>??</v>
      </c>
      <c r="J171" s="146" t="str">
        <f t="shared" si="9"/>
        <v>??</v>
      </c>
      <c r="K171" s="146" t="str">
        <f t="shared" si="9"/>
        <v>??</v>
      </c>
      <c r="L171" s="146" t="str">
        <f t="shared" si="9"/>
        <v>??</v>
      </c>
      <c r="M171" s="146" t="str">
        <f t="shared" si="9"/>
        <v>??</v>
      </c>
      <c r="N171" s="146" t="str">
        <f t="shared" si="9"/>
        <v>??</v>
      </c>
      <c r="O171" s="146" t="str">
        <f t="shared" si="9"/>
        <v>??</v>
      </c>
      <c r="P171" s="146" t="str">
        <f t="shared" si="9"/>
        <v>??</v>
      </c>
      <c r="Q171" s="146" t="str">
        <f t="shared" si="9"/>
        <v>??</v>
      </c>
      <c r="R171" s="146" t="str">
        <f t="shared" si="9"/>
        <v>??</v>
      </c>
      <c r="S171" s="146" t="str">
        <f t="shared" si="9"/>
        <v>??</v>
      </c>
      <c r="T171" s="146" t="str">
        <f t="shared" si="9"/>
        <v>??</v>
      </c>
      <c r="U171" s="146" t="str">
        <f t="shared" si="9"/>
        <v>??</v>
      </c>
      <c r="V171" s="146" t="str">
        <f t="shared" si="9"/>
        <v>??</v>
      </c>
      <c r="W171" s="146" t="str">
        <f t="shared" si="9"/>
        <v>??</v>
      </c>
      <c r="X171" s="146" t="str">
        <f t="shared" si="9"/>
        <v>??</v>
      </c>
      <c r="Y171" s="146" t="str">
        <f t="shared" si="9"/>
        <v>??</v>
      </c>
      <c r="Z171" s="146" t="str">
        <f t="shared" si="9"/>
        <v>??</v>
      </c>
      <c r="AA171" s="146" t="str">
        <f t="shared" si="9"/>
        <v>??</v>
      </c>
      <c r="AB171" s="146" t="str">
        <f t="shared" si="9"/>
        <v>??</v>
      </c>
    </row>
    <row r="172" spans="1:121" s="52" customFormat="1" ht="3" customHeight="1">
      <c r="A172" s="55"/>
      <c r="B172" s="96"/>
      <c r="C172" s="159"/>
      <c r="D172" s="358"/>
      <c r="E172" s="96"/>
      <c r="F172" s="83"/>
      <c r="G172" s="83"/>
      <c r="H172" s="83"/>
      <c r="I172" s="149"/>
      <c r="J172" s="156"/>
      <c r="K172" s="155"/>
      <c r="L172" s="157"/>
      <c r="M172" s="150"/>
      <c r="N172" s="149"/>
      <c r="O172" s="149"/>
      <c r="P172" s="149"/>
      <c r="Q172" s="149"/>
      <c r="R172" s="149"/>
      <c r="S172" s="149"/>
      <c r="T172" s="149"/>
      <c r="U172" s="149"/>
      <c r="V172" s="149"/>
      <c r="W172" s="149"/>
      <c r="X172" s="149"/>
      <c r="Y172" s="149"/>
      <c r="Z172" s="149"/>
      <c r="AA172" s="149"/>
      <c r="AB172" s="149"/>
    </row>
    <row r="173" spans="1:121" s="52" customFormat="1" ht="50.4">
      <c r="A173" s="55"/>
      <c r="B173" s="305" t="s">
        <v>445</v>
      </c>
      <c r="C173" s="83" t="s">
        <v>434</v>
      </c>
      <c r="D173" s="358" t="s">
        <v>532</v>
      </c>
      <c r="E173" s="92" t="s">
        <v>8</v>
      </c>
      <c r="F173" s="101" t="s">
        <v>115</v>
      </c>
      <c r="G173" s="101"/>
      <c r="H173" s="101"/>
      <c r="I173" s="146" t="str">
        <f t="shared" ref="I173:AB173" si="10">IF(AND(ISNUMBER(Qai_grass),ISNUMBER(I144)),100*Qai_grass*QN_grass/(I144*DEPTHgrass*RHOsoilwet),"??")</f>
        <v>??</v>
      </c>
      <c r="J173" s="146" t="str">
        <f t="shared" si="10"/>
        <v>??</v>
      </c>
      <c r="K173" s="146" t="str">
        <f t="shared" si="10"/>
        <v>??</v>
      </c>
      <c r="L173" s="146" t="str">
        <f t="shared" si="10"/>
        <v>??</v>
      </c>
      <c r="M173" s="146" t="str">
        <f t="shared" si="10"/>
        <v>??</v>
      </c>
      <c r="N173" s="146" t="str">
        <f t="shared" si="10"/>
        <v>??</v>
      </c>
      <c r="O173" s="146" t="str">
        <f t="shared" si="10"/>
        <v>??</v>
      </c>
      <c r="P173" s="146" t="str">
        <f t="shared" si="10"/>
        <v>??</v>
      </c>
      <c r="Q173" s="146" t="str">
        <f t="shared" si="10"/>
        <v>??</v>
      </c>
      <c r="R173" s="146" t="str">
        <f t="shared" si="10"/>
        <v>??</v>
      </c>
      <c r="S173" s="146" t="str">
        <f t="shared" si="10"/>
        <v>??</v>
      </c>
      <c r="T173" s="146" t="str">
        <f t="shared" si="10"/>
        <v>??</v>
      </c>
      <c r="U173" s="146" t="str">
        <f t="shared" si="10"/>
        <v>??</v>
      </c>
      <c r="V173" s="146" t="str">
        <f t="shared" si="10"/>
        <v>??</v>
      </c>
      <c r="W173" s="146" t="str">
        <f t="shared" si="10"/>
        <v>??</v>
      </c>
      <c r="X173" s="146" t="str">
        <f t="shared" si="10"/>
        <v>??</v>
      </c>
      <c r="Y173" s="146" t="str">
        <f t="shared" si="10"/>
        <v>??</v>
      </c>
      <c r="Z173" s="146" t="str">
        <f t="shared" si="10"/>
        <v>??</v>
      </c>
      <c r="AA173" s="146" t="str">
        <f t="shared" si="10"/>
        <v>??</v>
      </c>
      <c r="AB173" s="146" t="str">
        <f t="shared" si="10"/>
        <v>??</v>
      </c>
    </row>
    <row r="174" spans="1:121" s="52" customFormat="1" ht="3" customHeight="1">
      <c r="A174" s="55"/>
      <c r="B174" s="96"/>
      <c r="C174" s="83"/>
      <c r="D174" s="96"/>
      <c r="E174" s="92"/>
      <c r="F174" s="101"/>
      <c r="G174" s="101"/>
      <c r="H174" s="101"/>
      <c r="I174" s="149"/>
      <c r="J174" s="149"/>
      <c r="K174" s="149"/>
      <c r="L174" s="149"/>
      <c r="M174" s="150"/>
      <c r="N174" s="149"/>
      <c r="O174" s="149"/>
      <c r="P174" s="149"/>
      <c r="Q174" s="149"/>
      <c r="R174" s="149"/>
      <c r="S174" s="149"/>
      <c r="T174" s="149"/>
      <c r="U174" s="149"/>
      <c r="V174" s="149"/>
      <c r="W174" s="149"/>
      <c r="X174" s="149"/>
      <c r="Y174" s="149"/>
      <c r="Z174" s="149"/>
      <c r="AA174" s="149"/>
      <c r="AB174" s="149"/>
    </row>
    <row r="175" spans="1:121" s="52" customFormat="1" ht="15" customHeight="1">
      <c r="A175" s="55"/>
      <c r="B175" s="364" t="s">
        <v>446</v>
      </c>
      <c r="C175" s="83"/>
      <c r="D175" s="96"/>
      <c r="E175" s="92"/>
      <c r="F175" s="101"/>
      <c r="G175" s="101"/>
      <c r="H175" s="101"/>
      <c r="I175" s="149"/>
      <c r="J175" s="149"/>
      <c r="K175" s="149"/>
      <c r="L175" s="149"/>
      <c r="M175" s="150"/>
      <c r="N175" s="149"/>
      <c r="O175" s="149"/>
      <c r="P175" s="149"/>
      <c r="Q175" s="149"/>
      <c r="R175" s="149"/>
      <c r="S175" s="149"/>
      <c r="T175" s="149"/>
      <c r="U175" s="149"/>
      <c r="V175" s="149"/>
      <c r="W175" s="149"/>
      <c r="X175" s="149"/>
      <c r="Y175" s="149"/>
      <c r="Z175" s="149"/>
      <c r="AA175" s="149"/>
      <c r="AB175" s="149"/>
    </row>
    <row r="176" spans="1:121" s="52" customFormat="1" ht="50.4">
      <c r="A176" s="55"/>
      <c r="B176" s="305" t="s">
        <v>447</v>
      </c>
      <c r="C176" s="83" t="s">
        <v>435</v>
      </c>
      <c r="D176" s="359" t="s">
        <v>533</v>
      </c>
      <c r="E176" s="92" t="s">
        <v>8</v>
      </c>
      <c r="F176" s="101" t="s">
        <v>115</v>
      </c>
      <c r="G176" s="101"/>
      <c r="H176" s="101"/>
      <c r="I176" s="146" t="str">
        <f t="shared" ref="I176:AB176" si="11">IF(ISNUMBER(k_gr),IF(AND(k_gr&gt;0,ISNUMBER(I171)),I171*((1-POWER(EXP(-k_gr*Tgr_int),Nlapp_grass)))/(1-EXP(-k_gr*Tgr_int)),"??"),"??")</f>
        <v>??</v>
      </c>
      <c r="J176" s="146" t="str">
        <f t="shared" si="11"/>
        <v>??</v>
      </c>
      <c r="K176" s="146" t="str">
        <f t="shared" si="11"/>
        <v>??</v>
      </c>
      <c r="L176" s="146" t="str">
        <f t="shared" si="11"/>
        <v>??</v>
      </c>
      <c r="M176" s="146" t="str">
        <f t="shared" si="11"/>
        <v>??</v>
      </c>
      <c r="N176" s="146" t="str">
        <f t="shared" si="11"/>
        <v>??</v>
      </c>
      <c r="O176" s="146" t="str">
        <f t="shared" si="11"/>
        <v>??</v>
      </c>
      <c r="P176" s="146" t="str">
        <f t="shared" si="11"/>
        <v>??</v>
      </c>
      <c r="Q176" s="146" t="str">
        <f t="shared" si="11"/>
        <v>??</v>
      </c>
      <c r="R176" s="146" t="str">
        <f t="shared" si="11"/>
        <v>??</v>
      </c>
      <c r="S176" s="146" t="str">
        <f t="shared" si="11"/>
        <v>??</v>
      </c>
      <c r="T176" s="146" t="str">
        <f t="shared" si="11"/>
        <v>??</v>
      </c>
      <c r="U176" s="146" t="str">
        <f t="shared" si="11"/>
        <v>??</v>
      </c>
      <c r="V176" s="146" t="str">
        <f t="shared" si="11"/>
        <v>??</v>
      </c>
      <c r="W176" s="146" t="str">
        <f t="shared" si="11"/>
        <v>??</v>
      </c>
      <c r="X176" s="146" t="str">
        <f t="shared" si="11"/>
        <v>??</v>
      </c>
      <c r="Y176" s="146" t="str">
        <f t="shared" si="11"/>
        <v>??</v>
      </c>
      <c r="Z176" s="146" t="str">
        <f t="shared" si="11"/>
        <v>??</v>
      </c>
      <c r="AA176" s="146" t="str">
        <f t="shared" si="11"/>
        <v>??</v>
      </c>
      <c r="AB176" s="146" t="str">
        <f t="shared" si="11"/>
        <v>??</v>
      </c>
    </row>
    <row r="177" spans="1:121" s="52" customFormat="1" ht="3" customHeight="1">
      <c r="A177" s="55"/>
      <c r="B177" s="113"/>
      <c r="C177" s="113"/>
      <c r="D177" s="136"/>
      <c r="E177" s="113"/>
      <c r="F177" s="113"/>
      <c r="G177" s="113"/>
      <c r="H177" s="113"/>
      <c r="I177" s="151"/>
      <c r="J177" s="151"/>
      <c r="K177" s="151"/>
      <c r="L177" s="152"/>
      <c r="M177" s="148"/>
      <c r="N177" s="147"/>
      <c r="O177" s="147"/>
      <c r="P177" s="147"/>
      <c r="Q177" s="147"/>
      <c r="R177" s="147"/>
      <c r="S177" s="147"/>
      <c r="T177" s="147"/>
      <c r="U177" s="147"/>
      <c r="V177" s="147"/>
      <c r="W177" s="147"/>
      <c r="X177" s="147"/>
      <c r="Y177" s="147"/>
      <c r="Z177" s="147"/>
      <c r="AA177" s="147"/>
      <c r="AB177" s="147"/>
      <c r="DP177" s="58"/>
      <c r="DQ177" s="58"/>
    </row>
    <row r="178" spans="1:121" s="52" customFormat="1" ht="15" customHeight="1">
      <c r="A178" s="55"/>
      <c r="B178" s="364" t="s">
        <v>442</v>
      </c>
      <c r="C178" s="83"/>
      <c r="D178" s="96"/>
      <c r="E178" s="92"/>
      <c r="F178" s="101"/>
      <c r="G178" s="101"/>
      <c r="H178" s="101"/>
      <c r="I178" s="149"/>
      <c r="J178" s="149"/>
      <c r="K178" s="149"/>
      <c r="L178" s="149"/>
      <c r="M178" s="150"/>
      <c r="N178" s="149"/>
      <c r="O178" s="149"/>
      <c r="P178" s="149"/>
      <c r="Q178" s="149"/>
      <c r="R178" s="149"/>
      <c r="S178" s="149"/>
      <c r="T178" s="149"/>
      <c r="U178" s="149"/>
      <c r="V178" s="149"/>
      <c r="W178" s="149"/>
      <c r="X178" s="149"/>
      <c r="Y178" s="149"/>
      <c r="Z178" s="149"/>
      <c r="AA178" s="149"/>
      <c r="AB178" s="149"/>
    </row>
    <row r="179" spans="1:121" s="52" customFormat="1" ht="50.4">
      <c r="A179" s="55"/>
      <c r="B179" s="305" t="s">
        <v>448</v>
      </c>
      <c r="C179" s="106" t="s">
        <v>436</v>
      </c>
      <c r="D179" s="362" t="s">
        <v>534</v>
      </c>
      <c r="E179" s="92" t="s">
        <v>8</v>
      </c>
      <c r="F179" s="101" t="s">
        <v>115</v>
      </c>
      <c r="G179" s="101"/>
      <c r="H179" s="101"/>
      <c r="I179" s="146" t="str">
        <f t="shared" ref="I179:AB179" si="12">IF(AND(ISNUMBER(I176),ISNUMBER(k_gr)),I176*(1-(POWER(EXP(-k_gr*365),10)))/(1-EXP(-k_gr*365)),"??")</f>
        <v>??</v>
      </c>
      <c r="J179" s="146" t="str">
        <f t="shared" si="12"/>
        <v>??</v>
      </c>
      <c r="K179" s="146" t="str">
        <f t="shared" si="12"/>
        <v>??</v>
      </c>
      <c r="L179" s="146" t="str">
        <f t="shared" si="12"/>
        <v>??</v>
      </c>
      <c r="M179" s="146" t="str">
        <f t="shared" si="12"/>
        <v>??</v>
      </c>
      <c r="N179" s="146" t="str">
        <f t="shared" si="12"/>
        <v>??</v>
      </c>
      <c r="O179" s="146" t="str">
        <f t="shared" si="12"/>
        <v>??</v>
      </c>
      <c r="P179" s="146" t="str">
        <f t="shared" si="12"/>
        <v>??</v>
      </c>
      <c r="Q179" s="146" t="str">
        <f t="shared" si="12"/>
        <v>??</v>
      </c>
      <c r="R179" s="146" t="str">
        <f t="shared" si="12"/>
        <v>??</v>
      </c>
      <c r="S179" s="146" t="str">
        <f t="shared" si="12"/>
        <v>??</v>
      </c>
      <c r="T179" s="146" t="str">
        <f t="shared" si="12"/>
        <v>??</v>
      </c>
      <c r="U179" s="146" t="str">
        <f t="shared" si="12"/>
        <v>??</v>
      </c>
      <c r="V179" s="146" t="str">
        <f t="shared" si="12"/>
        <v>??</v>
      </c>
      <c r="W179" s="146" t="str">
        <f t="shared" si="12"/>
        <v>??</v>
      </c>
      <c r="X179" s="146" t="str">
        <f t="shared" si="12"/>
        <v>??</v>
      </c>
      <c r="Y179" s="146" t="str">
        <f t="shared" si="12"/>
        <v>??</v>
      </c>
      <c r="Z179" s="146" t="str">
        <f t="shared" si="12"/>
        <v>??</v>
      </c>
      <c r="AA179" s="146" t="str">
        <f t="shared" si="12"/>
        <v>??</v>
      </c>
      <c r="AB179" s="146" t="str">
        <f t="shared" si="12"/>
        <v>??</v>
      </c>
    </row>
    <row r="180" spans="1:121" s="52" customFormat="1" ht="3" customHeight="1">
      <c r="A180" s="55"/>
      <c r="B180" s="113"/>
      <c r="C180" s="113"/>
      <c r="D180" s="136"/>
      <c r="E180" s="113"/>
      <c r="F180" s="113"/>
      <c r="G180" s="113"/>
      <c r="H180" s="113"/>
      <c r="I180" s="116"/>
      <c r="J180" s="116"/>
      <c r="K180" s="116"/>
      <c r="L180" s="137"/>
      <c r="M180" s="118"/>
      <c r="N180" s="117"/>
      <c r="O180" s="117"/>
      <c r="P180" s="117"/>
      <c r="Q180" s="117"/>
      <c r="R180" s="117"/>
      <c r="S180" s="117"/>
      <c r="T180" s="117"/>
      <c r="U180" s="117"/>
      <c r="V180" s="117"/>
      <c r="W180" s="117"/>
      <c r="X180" s="117"/>
      <c r="Y180" s="117"/>
      <c r="Z180" s="117"/>
      <c r="AA180" s="117"/>
      <c r="AB180" s="117"/>
      <c r="DP180" s="58"/>
      <c r="DQ180" s="58"/>
    </row>
    <row r="181" spans="1:121" s="52" customFormat="1" ht="39">
      <c r="A181" s="55"/>
      <c r="B181" s="305" t="s">
        <v>431</v>
      </c>
      <c r="C181" s="85" t="s">
        <v>437</v>
      </c>
      <c r="D181" s="359" t="s">
        <v>535</v>
      </c>
      <c r="E181" s="92" t="s">
        <v>8</v>
      </c>
      <c r="F181" s="101" t="s">
        <v>115</v>
      </c>
      <c r="G181" s="101"/>
      <c r="H181" s="113"/>
      <c r="I181" s="146" t="str">
        <f t="shared" ref="I181:AB181" si="13">IF(ISNUMBER(I179),I179*(1-EXP(-k_gr*30))/(k_gr*30),"??")</f>
        <v>??</v>
      </c>
      <c r="J181" s="146" t="str">
        <f t="shared" si="13"/>
        <v>??</v>
      </c>
      <c r="K181" s="146" t="str">
        <f t="shared" si="13"/>
        <v>??</v>
      </c>
      <c r="L181" s="146" t="str">
        <f t="shared" si="13"/>
        <v>??</v>
      </c>
      <c r="M181" s="146" t="str">
        <f t="shared" si="13"/>
        <v>??</v>
      </c>
      <c r="N181" s="146" t="str">
        <f t="shared" si="13"/>
        <v>??</v>
      </c>
      <c r="O181" s="146" t="str">
        <f t="shared" si="13"/>
        <v>??</v>
      </c>
      <c r="P181" s="146" t="str">
        <f t="shared" si="13"/>
        <v>??</v>
      </c>
      <c r="Q181" s="146" t="str">
        <f t="shared" si="13"/>
        <v>??</v>
      </c>
      <c r="R181" s="146" t="str">
        <f t="shared" si="13"/>
        <v>??</v>
      </c>
      <c r="S181" s="146" t="str">
        <f t="shared" si="13"/>
        <v>??</v>
      </c>
      <c r="T181" s="146" t="str">
        <f t="shared" si="13"/>
        <v>??</v>
      </c>
      <c r="U181" s="146" t="str">
        <f t="shared" si="13"/>
        <v>??</v>
      </c>
      <c r="V181" s="146" t="str">
        <f t="shared" si="13"/>
        <v>??</v>
      </c>
      <c r="W181" s="146" t="str">
        <f t="shared" si="13"/>
        <v>??</v>
      </c>
      <c r="X181" s="146" t="str">
        <f t="shared" si="13"/>
        <v>??</v>
      </c>
      <c r="Y181" s="146" t="str">
        <f t="shared" si="13"/>
        <v>??</v>
      </c>
      <c r="Z181" s="146" t="str">
        <f t="shared" si="13"/>
        <v>??</v>
      </c>
      <c r="AA181" s="146" t="str">
        <f t="shared" si="13"/>
        <v>??</v>
      </c>
      <c r="AB181" s="146" t="str">
        <f t="shared" si="13"/>
        <v>??</v>
      </c>
      <c r="DP181" s="58"/>
      <c r="DQ181" s="58"/>
    </row>
    <row r="182" spans="1:121" s="52" customFormat="1" ht="3" customHeight="1">
      <c r="A182" s="55"/>
      <c r="B182" s="305"/>
      <c r="C182" s="85"/>
      <c r="D182" s="359"/>
      <c r="E182" s="113"/>
      <c r="F182" s="113"/>
      <c r="G182" s="113"/>
      <c r="H182" s="113"/>
      <c r="I182" s="83"/>
      <c r="J182" s="113"/>
      <c r="K182" s="113"/>
      <c r="L182" s="84"/>
      <c r="M182" s="106"/>
      <c r="N182" s="83"/>
      <c r="O182" s="83"/>
      <c r="P182" s="83"/>
      <c r="Q182" s="83"/>
      <c r="R182" s="83"/>
      <c r="S182" s="83"/>
      <c r="T182" s="83"/>
      <c r="U182" s="83"/>
      <c r="V182" s="83"/>
      <c r="W182" s="83"/>
      <c r="X182" s="83"/>
      <c r="Y182" s="83"/>
      <c r="Z182" s="83"/>
      <c r="AA182" s="83"/>
      <c r="AB182" s="83"/>
      <c r="DP182" s="58"/>
      <c r="DQ182" s="58"/>
    </row>
    <row r="183" spans="1:121" s="52" customFormat="1" ht="39">
      <c r="A183" s="55"/>
      <c r="B183" s="305" t="s">
        <v>432</v>
      </c>
      <c r="C183" s="85" t="s">
        <v>438</v>
      </c>
      <c r="D183" s="359" t="s">
        <v>536</v>
      </c>
      <c r="E183" s="92" t="s">
        <v>8</v>
      </c>
      <c r="F183" s="101" t="s">
        <v>115</v>
      </c>
      <c r="G183" s="113"/>
      <c r="H183" s="113"/>
      <c r="I183" s="146" t="str">
        <f t="shared" ref="I183:AB183" si="14">IF(ISNUMBER(I179),I179*(1-EXP(-k_gr*180))/(k_gr*180),"??")</f>
        <v>??</v>
      </c>
      <c r="J183" s="146" t="str">
        <f t="shared" si="14"/>
        <v>??</v>
      </c>
      <c r="K183" s="146" t="str">
        <f t="shared" si="14"/>
        <v>??</v>
      </c>
      <c r="L183" s="146" t="str">
        <f t="shared" si="14"/>
        <v>??</v>
      </c>
      <c r="M183" s="146" t="str">
        <f t="shared" si="14"/>
        <v>??</v>
      </c>
      <c r="N183" s="146" t="str">
        <f t="shared" si="14"/>
        <v>??</v>
      </c>
      <c r="O183" s="146" t="str">
        <f t="shared" si="14"/>
        <v>??</v>
      </c>
      <c r="P183" s="146" t="str">
        <f t="shared" si="14"/>
        <v>??</v>
      </c>
      <c r="Q183" s="146" t="str">
        <f t="shared" si="14"/>
        <v>??</v>
      </c>
      <c r="R183" s="146" t="str">
        <f t="shared" si="14"/>
        <v>??</v>
      </c>
      <c r="S183" s="146" t="str">
        <f t="shared" si="14"/>
        <v>??</v>
      </c>
      <c r="T183" s="146" t="str">
        <f t="shared" si="14"/>
        <v>??</v>
      </c>
      <c r="U183" s="146" t="str">
        <f t="shared" si="14"/>
        <v>??</v>
      </c>
      <c r="V183" s="146" t="str">
        <f t="shared" si="14"/>
        <v>??</v>
      </c>
      <c r="W183" s="146" t="str">
        <f t="shared" si="14"/>
        <v>??</v>
      </c>
      <c r="X183" s="146" t="str">
        <f t="shared" si="14"/>
        <v>??</v>
      </c>
      <c r="Y183" s="146" t="str">
        <f t="shared" si="14"/>
        <v>??</v>
      </c>
      <c r="Z183" s="146" t="str">
        <f t="shared" si="14"/>
        <v>??</v>
      </c>
      <c r="AA183" s="146" t="str">
        <f t="shared" si="14"/>
        <v>??</v>
      </c>
      <c r="AB183" s="146" t="str">
        <f t="shared" si="14"/>
        <v>??</v>
      </c>
      <c r="DP183" s="58"/>
      <c r="DQ183" s="58"/>
    </row>
    <row r="184" spans="1:121" s="52" customFormat="1">
      <c r="A184" s="55"/>
      <c r="B184" s="305"/>
      <c r="C184" s="83"/>
      <c r="D184" s="358"/>
      <c r="E184" s="113"/>
      <c r="F184" s="113"/>
      <c r="G184" s="113"/>
      <c r="H184" s="113"/>
      <c r="I184" s="83"/>
      <c r="J184" s="113"/>
      <c r="K184" s="113"/>
      <c r="L184" s="84"/>
      <c r="M184" s="106"/>
      <c r="N184" s="83"/>
      <c r="O184" s="83"/>
      <c r="P184" s="83"/>
      <c r="Q184" s="83"/>
      <c r="R184" s="83"/>
      <c r="S184" s="83"/>
      <c r="T184" s="83"/>
      <c r="U184" s="83"/>
      <c r="V184" s="83"/>
      <c r="W184" s="83"/>
      <c r="X184" s="83"/>
      <c r="Y184" s="83"/>
      <c r="Z184" s="83"/>
      <c r="AA184" s="83"/>
      <c r="AB184" s="83"/>
      <c r="DP184" s="58"/>
      <c r="DQ184" s="58"/>
    </row>
    <row r="185" spans="1:121" s="52" customFormat="1" ht="17.399999999999999">
      <c r="A185" s="55"/>
      <c r="B185" s="175" t="s">
        <v>159</v>
      </c>
      <c r="C185" s="113"/>
      <c r="D185" s="133"/>
      <c r="E185" s="133"/>
      <c r="F185" s="133"/>
      <c r="G185" s="133"/>
      <c r="H185" s="133"/>
      <c r="I185" s="83"/>
      <c r="J185" s="92"/>
      <c r="K185" s="92"/>
      <c r="L185" s="96"/>
      <c r="M185" s="106"/>
      <c r="N185" s="83"/>
      <c r="O185" s="83"/>
      <c r="P185" s="83"/>
      <c r="Q185" s="83"/>
      <c r="R185" s="83"/>
      <c r="S185" s="83"/>
      <c r="T185" s="83"/>
      <c r="U185" s="83"/>
      <c r="V185" s="83"/>
      <c r="W185" s="83"/>
      <c r="X185" s="83"/>
      <c r="Y185" s="83"/>
      <c r="Z185" s="83"/>
      <c r="AA185" s="83"/>
      <c r="AB185" s="83"/>
    </row>
    <row r="186" spans="1:121" s="52" customFormat="1" ht="40.200000000000003">
      <c r="A186" s="55"/>
      <c r="B186" s="99" t="s">
        <v>174</v>
      </c>
      <c r="C186" s="86" t="s">
        <v>439</v>
      </c>
      <c r="D186" s="358" t="s">
        <v>537</v>
      </c>
      <c r="E186" s="92" t="s">
        <v>8</v>
      </c>
      <c r="F186" s="338" t="s">
        <v>401</v>
      </c>
      <c r="G186" s="101"/>
      <c r="H186" s="105"/>
      <c r="I186" s="146" t="str">
        <f t="shared" ref="I186:AB186" si="15">IF(AND(ISNUMBER(I183),Ksoil_water&gt;0),I183*RHOsoilwet/Ksoil_water,"??")</f>
        <v>??</v>
      </c>
      <c r="J186" s="146" t="str">
        <f t="shared" si="15"/>
        <v>??</v>
      </c>
      <c r="K186" s="146" t="str">
        <f t="shared" si="15"/>
        <v>??</v>
      </c>
      <c r="L186" s="146" t="str">
        <f t="shared" si="15"/>
        <v>??</v>
      </c>
      <c r="M186" s="146" t="str">
        <f t="shared" si="15"/>
        <v>??</v>
      </c>
      <c r="N186" s="146" t="str">
        <f t="shared" si="15"/>
        <v>??</v>
      </c>
      <c r="O186" s="146" t="str">
        <f t="shared" si="15"/>
        <v>??</v>
      </c>
      <c r="P186" s="146" t="str">
        <f t="shared" si="15"/>
        <v>??</v>
      </c>
      <c r="Q186" s="146" t="str">
        <f t="shared" si="15"/>
        <v>??</v>
      </c>
      <c r="R186" s="146" t="str">
        <f t="shared" si="15"/>
        <v>??</v>
      </c>
      <c r="S186" s="146" t="str">
        <f t="shared" si="15"/>
        <v>??</v>
      </c>
      <c r="T186" s="146" t="str">
        <f t="shared" si="15"/>
        <v>??</v>
      </c>
      <c r="U186" s="146" t="str">
        <f t="shared" si="15"/>
        <v>??</v>
      </c>
      <c r="V186" s="146" t="str">
        <f t="shared" si="15"/>
        <v>??</v>
      </c>
      <c r="W186" s="146" t="str">
        <f t="shared" si="15"/>
        <v>??</v>
      </c>
      <c r="X186" s="146" t="str">
        <f t="shared" si="15"/>
        <v>??</v>
      </c>
      <c r="Y186" s="146" t="str">
        <f t="shared" si="15"/>
        <v>??</v>
      </c>
      <c r="Z186" s="146" t="str">
        <f t="shared" si="15"/>
        <v>??</v>
      </c>
      <c r="AA186" s="146" t="str">
        <f t="shared" si="15"/>
        <v>??</v>
      </c>
      <c r="AB186" s="146" t="str">
        <f t="shared" si="15"/>
        <v>??</v>
      </c>
    </row>
    <row r="187" spans="1:121" s="52" customFormat="1" ht="5.0999999999999996" customHeight="1">
      <c r="A187" s="55"/>
      <c r="B187" s="96"/>
      <c r="C187" s="86"/>
      <c r="D187" s="358"/>
      <c r="E187" s="92"/>
      <c r="F187" s="101"/>
      <c r="G187" s="101"/>
      <c r="H187" s="105"/>
      <c r="I187" s="117"/>
      <c r="J187" s="117"/>
      <c r="K187" s="117"/>
      <c r="L187" s="117"/>
      <c r="M187" s="118"/>
      <c r="N187" s="117"/>
      <c r="O187" s="117"/>
      <c r="P187" s="117"/>
      <c r="Q187" s="117"/>
      <c r="R187" s="117"/>
      <c r="S187" s="117"/>
      <c r="T187" s="117"/>
      <c r="U187" s="117"/>
      <c r="V187" s="117"/>
      <c r="W187" s="117"/>
      <c r="X187" s="117"/>
      <c r="Y187" s="117"/>
      <c r="Z187" s="117"/>
      <c r="AA187" s="117"/>
      <c r="AB187" s="117"/>
    </row>
    <row r="188" spans="1:121" s="52" customFormat="1" ht="27.6">
      <c r="A188" s="55"/>
      <c r="B188" s="99" t="s">
        <v>176</v>
      </c>
      <c r="C188" s="86" t="s">
        <v>440</v>
      </c>
      <c r="D188" s="361" t="s">
        <v>545</v>
      </c>
      <c r="E188" s="174" t="s">
        <v>8</v>
      </c>
      <c r="F188" s="101" t="s">
        <v>456</v>
      </c>
      <c r="G188" s="101"/>
      <c r="H188" s="105"/>
      <c r="I188" s="146" t="str">
        <f t="shared" ref="I188:AB188" si="16">IF(AND(ISNUMBER(I181),ISNUMBER(Ksoil_water)),I181*RHOsoilwet/(Ksoil_water*DILUTION*1000),"??")</f>
        <v>??</v>
      </c>
      <c r="J188" s="146" t="str">
        <f t="shared" si="16"/>
        <v>??</v>
      </c>
      <c r="K188" s="146" t="str">
        <f t="shared" si="16"/>
        <v>??</v>
      </c>
      <c r="L188" s="146" t="str">
        <f t="shared" si="16"/>
        <v>??</v>
      </c>
      <c r="M188" s="146" t="str">
        <f t="shared" si="16"/>
        <v>??</v>
      </c>
      <c r="N188" s="146" t="str">
        <f t="shared" si="16"/>
        <v>??</v>
      </c>
      <c r="O188" s="146" t="str">
        <f t="shared" si="16"/>
        <v>??</v>
      </c>
      <c r="P188" s="146" t="str">
        <f t="shared" si="16"/>
        <v>??</v>
      </c>
      <c r="Q188" s="146" t="str">
        <f t="shared" si="16"/>
        <v>??</v>
      </c>
      <c r="R188" s="146" t="str">
        <f t="shared" si="16"/>
        <v>??</v>
      </c>
      <c r="S188" s="146" t="str">
        <f t="shared" si="16"/>
        <v>??</v>
      </c>
      <c r="T188" s="146" t="str">
        <f t="shared" si="16"/>
        <v>??</v>
      </c>
      <c r="U188" s="146" t="str">
        <f t="shared" si="16"/>
        <v>??</v>
      </c>
      <c r="V188" s="146" t="str">
        <f t="shared" si="16"/>
        <v>??</v>
      </c>
      <c r="W188" s="146" t="str">
        <f t="shared" si="16"/>
        <v>??</v>
      </c>
      <c r="X188" s="146" t="str">
        <f t="shared" si="16"/>
        <v>??</v>
      </c>
      <c r="Y188" s="146" t="str">
        <f t="shared" si="16"/>
        <v>??</v>
      </c>
      <c r="Z188" s="146" t="str">
        <f t="shared" si="16"/>
        <v>??</v>
      </c>
      <c r="AA188" s="146" t="str">
        <f t="shared" si="16"/>
        <v>??</v>
      </c>
      <c r="AB188" s="146" t="str">
        <f t="shared" si="16"/>
        <v>??</v>
      </c>
      <c r="AC188" s="55"/>
    </row>
    <row r="189" spans="1:121" s="52" customFormat="1" ht="3" customHeight="1">
      <c r="A189" s="55"/>
      <c r="B189" s="160"/>
      <c r="C189" s="86"/>
      <c r="D189" s="358"/>
      <c r="E189" s="174"/>
      <c r="F189" s="101"/>
      <c r="G189" s="101"/>
      <c r="H189" s="105"/>
      <c r="I189" s="83"/>
      <c r="J189" s="83"/>
      <c r="K189" s="83"/>
      <c r="L189" s="83"/>
      <c r="M189" s="106"/>
      <c r="N189" s="83"/>
      <c r="O189" s="83"/>
      <c r="P189" s="83"/>
      <c r="Q189" s="83"/>
      <c r="R189" s="83"/>
      <c r="S189" s="83"/>
      <c r="T189" s="83"/>
      <c r="U189" s="83"/>
      <c r="V189" s="83"/>
      <c r="W189" s="83"/>
      <c r="X189" s="83"/>
      <c r="Y189" s="83"/>
      <c r="Z189" s="83"/>
      <c r="AA189" s="83"/>
      <c r="AB189" s="83"/>
      <c r="AC189" s="55"/>
    </row>
    <row r="190" spans="1:121" s="52" customFormat="1" ht="27.6">
      <c r="A190" s="55"/>
      <c r="B190" s="99" t="s">
        <v>161</v>
      </c>
      <c r="C190" s="305" t="s">
        <v>162</v>
      </c>
      <c r="D190" s="305" t="s">
        <v>457</v>
      </c>
      <c r="E190" s="174" t="s">
        <v>8</v>
      </c>
      <c r="F190" s="101" t="s">
        <v>115</v>
      </c>
      <c r="G190" s="101"/>
      <c r="H190" s="105"/>
      <c r="I190" s="146" t="str">
        <f t="shared" ref="I190:AB190" si="17">IF(AND(ISNUMBER(I188),ISNUMBER(Ksusp_water)),+I188*Ksusp_water*1000/RHOsusp,"??")</f>
        <v>??</v>
      </c>
      <c r="J190" s="146" t="str">
        <f t="shared" si="17"/>
        <v>??</v>
      </c>
      <c r="K190" s="146" t="str">
        <f t="shared" si="17"/>
        <v>??</v>
      </c>
      <c r="L190" s="146" t="str">
        <f t="shared" si="17"/>
        <v>??</v>
      </c>
      <c r="M190" s="146" t="str">
        <f t="shared" si="17"/>
        <v>??</v>
      </c>
      <c r="N190" s="146" t="str">
        <f t="shared" si="17"/>
        <v>??</v>
      </c>
      <c r="O190" s="146" t="str">
        <f t="shared" si="17"/>
        <v>??</v>
      </c>
      <c r="P190" s="146" t="str">
        <f t="shared" si="17"/>
        <v>??</v>
      </c>
      <c r="Q190" s="146" t="str">
        <f t="shared" si="17"/>
        <v>??</v>
      </c>
      <c r="R190" s="146" t="str">
        <f t="shared" si="17"/>
        <v>??</v>
      </c>
      <c r="S190" s="146" t="str">
        <f t="shared" si="17"/>
        <v>??</v>
      </c>
      <c r="T190" s="146" t="str">
        <f t="shared" si="17"/>
        <v>??</v>
      </c>
      <c r="U190" s="146" t="str">
        <f t="shared" si="17"/>
        <v>??</v>
      </c>
      <c r="V190" s="146" t="str">
        <f t="shared" si="17"/>
        <v>??</v>
      </c>
      <c r="W190" s="146" t="str">
        <f t="shared" si="17"/>
        <v>??</v>
      </c>
      <c r="X190" s="146" t="str">
        <f t="shared" si="17"/>
        <v>??</v>
      </c>
      <c r="Y190" s="146" t="str">
        <f t="shared" si="17"/>
        <v>??</v>
      </c>
      <c r="Z190" s="146" t="str">
        <f t="shared" si="17"/>
        <v>??</v>
      </c>
      <c r="AA190" s="146" t="str">
        <f t="shared" si="17"/>
        <v>??</v>
      </c>
      <c r="AB190" s="146" t="str">
        <f t="shared" si="17"/>
        <v>??</v>
      </c>
      <c r="AC190" s="55"/>
    </row>
    <row r="191" spans="1:121" s="52" customFormat="1">
      <c r="A191" s="55"/>
      <c r="B191" s="160"/>
      <c r="C191" s="99"/>
      <c r="D191" s="99"/>
      <c r="E191" s="174"/>
      <c r="F191" s="101"/>
      <c r="G191" s="101"/>
      <c r="H191" s="105"/>
      <c r="I191" s="83"/>
      <c r="J191" s="83"/>
      <c r="K191" s="83"/>
      <c r="L191" s="83"/>
      <c r="M191" s="106"/>
      <c r="N191" s="83"/>
      <c r="O191" s="83"/>
      <c r="P191" s="83"/>
      <c r="Q191" s="83"/>
      <c r="R191" s="83"/>
      <c r="S191" s="83"/>
      <c r="T191" s="83"/>
      <c r="U191" s="83"/>
      <c r="V191" s="83"/>
      <c r="W191" s="83"/>
      <c r="X191" s="83"/>
      <c r="Y191" s="83"/>
      <c r="Z191" s="83"/>
      <c r="AA191" s="83"/>
      <c r="AB191" s="83"/>
      <c r="AC191" s="55"/>
    </row>
    <row r="192" spans="1:121" s="52" customFormat="1" ht="17.399999999999999">
      <c r="A192" s="55"/>
      <c r="B192" s="133" t="s">
        <v>51</v>
      </c>
      <c r="C192" s="133"/>
      <c r="D192" s="133"/>
      <c r="E192" s="133"/>
      <c r="F192" s="86"/>
      <c r="G192" s="86"/>
      <c r="H192" s="86"/>
      <c r="I192" s="83"/>
      <c r="J192" s="92"/>
      <c r="K192" s="92"/>
      <c r="L192" s="83"/>
      <c r="M192" s="106"/>
      <c r="N192" s="83"/>
      <c r="O192" s="83"/>
      <c r="P192" s="83"/>
      <c r="Q192" s="83"/>
      <c r="R192" s="83"/>
      <c r="S192" s="83"/>
      <c r="T192" s="83"/>
      <c r="U192" s="83"/>
      <c r="V192" s="83"/>
      <c r="W192" s="83"/>
      <c r="X192" s="83"/>
      <c r="Y192" s="83"/>
      <c r="Z192" s="83"/>
      <c r="AA192" s="83"/>
      <c r="AB192" s="83"/>
    </row>
    <row r="193" spans="1:28" s="52" customFormat="1" ht="25.2">
      <c r="A193" s="55"/>
      <c r="B193" s="93" t="s">
        <v>355</v>
      </c>
      <c r="C193" s="93" t="s">
        <v>105</v>
      </c>
      <c r="D193" s="96" t="s">
        <v>345</v>
      </c>
      <c r="E193" s="92" t="s">
        <v>8</v>
      </c>
      <c r="F193" s="92" t="s">
        <v>261</v>
      </c>
      <c r="G193" s="92"/>
      <c r="H193" s="92"/>
      <c r="I193" s="146" t="str">
        <f>IF(AND(ISNUMBER(Fwastewater),ISNUMBER(Qai_prescr)),Fwastewater* Qai_prescr*Ntub_filling,"??")</f>
        <v>??</v>
      </c>
      <c r="J193" s="146" t="str">
        <f>IF(AND(ISNUMBER(Fwastewater),ISNUMBER(Qai_prescr)),Fwastewater* Qai_prescr*Ntub_filling,"??")</f>
        <v>??</v>
      </c>
      <c r="K193" s="146" t="str">
        <f t="shared" ref="K193:AB193" si="18">IF(AND(ISNUMBER(Fwastewater),ISNUMBER(Qai_prescr)),Fwastewater* Qai_prescr,"??")</f>
        <v>??</v>
      </c>
      <c r="L193" s="146" t="str">
        <f t="shared" si="18"/>
        <v>??</v>
      </c>
      <c r="M193" s="146" t="str">
        <f t="shared" si="18"/>
        <v>??</v>
      </c>
      <c r="N193" s="146" t="str">
        <f t="shared" si="18"/>
        <v>??</v>
      </c>
      <c r="O193" s="146" t="str">
        <f t="shared" si="18"/>
        <v>??</v>
      </c>
      <c r="P193" s="146" t="str">
        <f t="shared" si="18"/>
        <v>??</v>
      </c>
      <c r="Q193" s="146" t="str">
        <f t="shared" si="18"/>
        <v>??</v>
      </c>
      <c r="R193" s="146" t="str">
        <f t="shared" si="18"/>
        <v>??</v>
      </c>
      <c r="S193" s="146" t="str">
        <f t="shared" si="18"/>
        <v>??</v>
      </c>
      <c r="T193" s="146" t="str">
        <f t="shared" si="18"/>
        <v>??</v>
      </c>
      <c r="U193" s="146" t="str">
        <f t="shared" si="18"/>
        <v>??</v>
      </c>
      <c r="V193" s="146" t="str">
        <f t="shared" si="18"/>
        <v>??</v>
      </c>
      <c r="W193" s="146" t="str">
        <f t="shared" si="18"/>
        <v>??</v>
      </c>
      <c r="X193" s="146" t="str">
        <f t="shared" si="18"/>
        <v>??</v>
      </c>
      <c r="Y193" s="146" t="str">
        <f t="shared" si="18"/>
        <v>??</v>
      </c>
      <c r="Z193" s="146" t="str">
        <f t="shared" si="18"/>
        <v>??</v>
      </c>
      <c r="AA193" s="146" t="str">
        <f t="shared" si="18"/>
        <v>??</v>
      </c>
      <c r="AB193" s="146" t="str">
        <f t="shared" si="18"/>
        <v>??</v>
      </c>
    </row>
    <row r="194" spans="1:28" s="55" customFormat="1" ht="12" customHeight="1">
      <c r="B194" s="96"/>
      <c r="C194" s="83"/>
      <c r="D194" s="84"/>
      <c r="E194" s="83"/>
      <c r="F194" s="83"/>
      <c r="G194" s="83"/>
      <c r="H194" s="83"/>
      <c r="I194" s="83"/>
      <c r="J194" s="138"/>
      <c r="K194" s="106"/>
      <c r="L194" s="83"/>
      <c r="M194" s="106"/>
      <c r="N194" s="83"/>
      <c r="O194" s="83"/>
      <c r="P194" s="83"/>
      <c r="Q194" s="83"/>
      <c r="R194" s="83"/>
      <c r="S194" s="83"/>
      <c r="T194" s="83"/>
      <c r="U194" s="83"/>
      <c r="V194" s="83"/>
      <c r="W194" s="83"/>
      <c r="X194" s="83"/>
      <c r="Y194" s="83"/>
      <c r="Z194" s="83"/>
      <c r="AA194" s="83"/>
      <c r="AB194" s="83"/>
    </row>
    <row r="195" spans="1:28" s="55" customFormat="1">
      <c r="B195" s="96"/>
      <c r="C195" s="91"/>
      <c r="D195" s="139"/>
      <c r="E195" s="83"/>
      <c r="F195" s="83"/>
      <c r="G195" s="83"/>
      <c r="H195" s="83"/>
      <c r="I195" s="83"/>
      <c r="J195" s="106"/>
      <c r="K195" s="106"/>
      <c r="L195" s="83"/>
      <c r="M195" s="106"/>
      <c r="N195" s="83"/>
      <c r="O195" s="83"/>
      <c r="P195" s="83"/>
      <c r="Q195" s="83"/>
      <c r="R195" s="83"/>
      <c r="S195" s="83"/>
      <c r="T195" s="83"/>
      <c r="U195" s="83"/>
      <c r="V195" s="83"/>
      <c r="W195" s="83"/>
      <c r="X195" s="83"/>
      <c r="Y195" s="83"/>
      <c r="Z195" s="83"/>
      <c r="AA195" s="83"/>
      <c r="AB195" s="83"/>
    </row>
    <row r="196" spans="1:28" s="52" customFormat="1">
      <c r="A196" s="55"/>
      <c r="B196" s="493" t="s">
        <v>12</v>
      </c>
      <c r="C196" s="493"/>
      <c r="D196" s="493"/>
      <c r="E196" s="493"/>
      <c r="F196" s="493"/>
      <c r="G196" s="493"/>
      <c r="H196" s="493"/>
      <c r="I196" s="493"/>
      <c r="J196" s="493"/>
      <c r="K196" s="493"/>
      <c r="L196" s="493"/>
      <c r="M196" s="54"/>
    </row>
    <row r="197" spans="1:28" s="52" customFormat="1">
      <c r="B197" s="493"/>
      <c r="C197" s="493"/>
      <c r="D197" s="493"/>
      <c r="E197" s="493"/>
      <c r="F197" s="493"/>
      <c r="G197" s="493"/>
      <c r="H197" s="493"/>
      <c r="I197" s="493"/>
      <c r="J197" s="493"/>
      <c r="K197" s="493"/>
      <c r="L197" s="493"/>
      <c r="M197" s="54"/>
    </row>
    <row r="198" spans="1:28" s="52" customFormat="1">
      <c r="B198" s="493"/>
      <c r="C198" s="493"/>
      <c r="D198" s="493"/>
      <c r="E198" s="493"/>
      <c r="F198" s="493"/>
      <c r="G198" s="493"/>
      <c r="H198" s="493"/>
      <c r="I198" s="493"/>
      <c r="J198" s="493"/>
      <c r="K198" s="493"/>
      <c r="L198" s="493"/>
      <c r="M198" s="54"/>
    </row>
    <row r="199" spans="1:28" s="52" customFormat="1">
      <c r="L199" s="53"/>
      <c r="M199" s="54"/>
    </row>
    <row r="200" spans="1:28" s="52" customFormat="1">
      <c r="L200" s="53"/>
      <c r="M200" s="54"/>
    </row>
    <row r="201" spans="1:28" s="52" customFormat="1">
      <c r="L201" s="53"/>
      <c r="M201" s="54"/>
    </row>
    <row r="202" spans="1:28" s="52" customFormat="1">
      <c r="L202" s="53"/>
      <c r="M202" s="54"/>
    </row>
    <row r="203" spans="1:28" s="52" customFormat="1">
      <c r="L203" s="53"/>
      <c r="M203" s="54"/>
    </row>
    <row r="204" spans="1:28" s="52" customFormat="1">
      <c r="L204" s="53"/>
      <c r="M204" s="54"/>
    </row>
    <row r="205" spans="1:28" s="52" customFormat="1">
      <c r="L205" s="53"/>
      <c r="M205" s="54"/>
    </row>
    <row r="206" spans="1:28" s="52" customFormat="1">
      <c r="L206" s="53"/>
      <c r="M206" s="54"/>
    </row>
    <row r="207" spans="1:28" s="52" customFormat="1">
      <c r="L207" s="53"/>
      <c r="M207" s="54"/>
    </row>
    <row r="208" spans="1:28" s="52" customFormat="1">
      <c r="L208" s="53"/>
      <c r="M208" s="54"/>
    </row>
    <row r="209" spans="12:13" s="52" customFormat="1">
      <c r="L209" s="53"/>
      <c r="M209" s="54"/>
    </row>
    <row r="210" spans="12:13" s="52" customFormat="1">
      <c r="L210" s="53"/>
      <c r="M210" s="54"/>
    </row>
    <row r="211" spans="12:13" s="52" customFormat="1">
      <c r="L211" s="53"/>
      <c r="M211" s="54"/>
    </row>
    <row r="212" spans="12:13" s="52" customFormat="1">
      <c r="L212" s="53"/>
      <c r="M212" s="54"/>
    </row>
    <row r="213" spans="12:13" s="52" customFormat="1">
      <c r="L213" s="53"/>
      <c r="M213" s="54"/>
    </row>
    <row r="214" spans="12:13" s="52" customFormat="1">
      <c r="L214" s="53"/>
      <c r="M214" s="54"/>
    </row>
    <row r="215" spans="12:13" s="52" customFormat="1">
      <c r="L215" s="53"/>
      <c r="M215" s="54"/>
    </row>
    <row r="216" spans="12:13" s="52" customFormat="1">
      <c r="L216" s="53"/>
      <c r="M216" s="54"/>
    </row>
    <row r="217" spans="12:13" s="52" customFormat="1">
      <c r="L217" s="53"/>
      <c r="M217" s="54"/>
    </row>
    <row r="218" spans="12:13" s="52" customFormat="1">
      <c r="L218" s="53"/>
      <c r="M218" s="54"/>
    </row>
    <row r="219" spans="12:13" s="52" customFormat="1">
      <c r="L219" s="53"/>
      <c r="M219" s="54"/>
    </row>
    <row r="220" spans="12:13" s="52" customFormat="1">
      <c r="L220" s="53"/>
      <c r="M220" s="54"/>
    </row>
    <row r="221" spans="12:13" s="52" customFormat="1">
      <c r="L221" s="53"/>
      <c r="M221" s="54"/>
    </row>
    <row r="222" spans="12:13" s="52" customFormat="1">
      <c r="L222" s="53"/>
      <c r="M222" s="54"/>
    </row>
    <row r="223" spans="12:13" s="52" customFormat="1">
      <c r="L223" s="53"/>
      <c r="M223" s="54"/>
    </row>
    <row r="224" spans="12:13" s="52" customFormat="1">
      <c r="L224" s="53"/>
      <c r="M224" s="54"/>
    </row>
    <row r="225" spans="12:13" s="52" customFormat="1">
      <c r="L225" s="53"/>
      <c r="M225" s="54"/>
    </row>
    <row r="226" spans="12:13" s="52" customFormat="1">
      <c r="L226" s="53"/>
      <c r="M226" s="54"/>
    </row>
    <row r="227" spans="12:13" s="52" customFormat="1">
      <c r="L227" s="53"/>
      <c r="M227" s="54"/>
    </row>
    <row r="228" spans="12:13" s="52" customFormat="1">
      <c r="L228" s="53"/>
      <c r="M228" s="54"/>
    </row>
    <row r="229" spans="12:13" s="52" customFormat="1">
      <c r="L229" s="53"/>
      <c r="M229" s="54"/>
    </row>
    <row r="230" spans="12:13" s="52" customFormat="1">
      <c r="L230" s="53"/>
      <c r="M230" s="54"/>
    </row>
    <row r="231" spans="12:13" s="52" customFormat="1">
      <c r="L231" s="53"/>
      <c r="M231" s="54"/>
    </row>
    <row r="232" spans="12:13" s="52" customFormat="1">
      <c r="L232" s="53"/>
      <c r="M232" s="54"/>
    </row>
    <row r="233" spans="12:13" s="52" customFormat="1">
      <c r="L233" s="53"/>
      <c r="M233" s="54"/>
    </row>
    <row r="234" spans="12:13" s="52" customFormat="1">
      <c r="L234" s="53"/>
      <c r="M234" s="54"/>
    </row>
    <row r="235" spans="12:13" s="52" customFormat="1">
      <c r="L235" s="53"/>
      <c r="M235" s="54"/>
    </row>
    <row r="236" spans="12:13" s="52" customFormat="1">
      <c r="L236" s="53"/>
      <c r="M236" s="54"/>
    </row>
    <row r="237" spans="12:13" s="52" customFormat="1">
      <c r="L237" s="53"/>
      <c r="M237" s="54"/>
    </row>
    <row r="238" spans="12:13" s="52" customFormat="1">
      <c r="L238" s="53"/>
      <c r="M238" s="54"/>
    </row>
    <row r="239" spans="12:13" s="52" customFormat="1">
      <c r="L239" s="53"/>
      <c r="M239" s="54"/>
    </row>
    <row r="240" spans="12:13" s="52" customFormat="1">
      <c r="L240" s="53"/>
      <c r="M240" s="54"/>
    </row>
    <row r="241" spans="12:13" s="52" customFormat="1">
      <c r="L241" s="53"/>
      <c r="M241" s="54"/>
    </row>
    <row r="242" spans="12:13" s="52" customFormat="1">
      <c r="L242" s="53"/>
      <c r="M242" s="54"/>
    </row>
    <row r="243" spans="12:13" s="52" customFormat="1">
      <c r="L243" s="53"/>
      <c r="M243" s="54"/>
    </row>
    <row r="244" spans="12:13" s="52" customFormat="1">
      <c r="L244" s="53"/>
      <c r="M244" s="54"/>
    </row>
    <row r="245" spans="12:13" s="52" customFormat="1">
      <c r="L245" s="53"/>
      <c r="M245" s="54"/>
    </row>
    <row r="246" spans="12:13" s="52" customFormat="1">
      <c r="L246" s="53"/>
      <c r="M246" s="54"/>
    </row>
    <row r="247" spans="12:13" s="52" customFormat="1">
      <c r="L247" s="53"/>
      <c r="M247" s="54"/>
    </row>
    <row r="248" spans="12:13" s="52" customFormat="1">
      <c r="L248" s="53"/>
      <c r="M248" s="54"/>
    </row>
    <row r="249" spans="12:13" s="52" customFormat="1">
      <c r="L249" s="53"/>
      <c r="M249" s="54"/>
    </row>
    <row r="250" spans="12:13" s="52" customFormat="1">
      <c r="L250" s="53"/>
      <c r="M250" s="54"/>
    </row>
    <row r="251" spans="12:13" s="52" customFormat="1">
      <c r="L251" s="53"/>
      <c r="M251" s="54"/>
    </row>
    <row r="252" spans="12:13" s="52" customFormat="1">
      <c r="L252" s="53"/>
      <c r="M252" s="54"/>
    </row>
    <row r="253" spans="12:13" s="52" customFormat="1">
      <c r="L253" s="53"/>
      <c r="M253" s="54"/>
    </row>
    <row r="254" spans="12:13" s="52" customFormat="1">
      <c r="L254" s="53"/>
      <c r="M254" s="54"/>
    </row>
    <row r="255" spans="12:13" s="52" customFormat="1">
      <c r="L255" s="53"/>
      <c r="M255" s="54"/>
    </row>
    <row r="256" spans="12:13" s="52" customFormat="1">
      <c r="L256" s="53"/>
      <c r="M256" s="54"/>
    </row>
    <row r="257" spans="12:13" s="52" customFormat="1">
      <c r="L257" s="53"/>
      <c r="M257" s="54"/>
    </row>
    <row r="258" spans="12:13" s="52" customFormat="1">
      <c r="L258" s="53"/>
      <c r="M258" s="54"/>
    </row>
    <row r="259" spans="12:13" s="52" customFormat="1">
      <c r="L259" s="53"/>
      <c r="M259" s="54"/>
    </row>
    <row r="260" spans="12:13" s="52" customFormat="1">
      <c r="L260" s="53"/>
      <c r="M260" s="54"/>
    </row>
    <row r="261" spans="12:13" s="52" customFormat="1">
      <c r="L261" s="53"/>
      <c r="M261" s="54"/>
    </row>
    <row r="262" spans="12:13" s="52" customFormat="1">
      <c r="L262" s="53"/>
      <c r="M262" s="54"/>
    </row>
    <row r="263" spans="12:13" s="52" customFormat="1">
      <c r="L263" s="53"/>
      <c r="M263" s="54"/>
    </row>
    <row r="264" spans="12:13" s="52" customFormat="1">
      <c r="L264" s="53"/>
      <c r="M264" s="54"/>
    </row>
    <row r="265" spans="12:13" s="52" customFormat="1">
      <c r="L265" s="53"/>
      <c r="M265" s="54"/>
    </row>
    <row r="266" spans="12:13" s="52" customFormat="1">
      <c r="L266" s="53"/>
      <c r="M266" s="54"/>
    </row>
    <row r="267" spans="12:13" s="52" customFormat="1">
      <c r="L267" s="53"/>
      <c r="M267" s="54"/>
    </row>
    <row r="268" spans="12:13" s="52" customFormat="1">
      <c r="L268" s="53"/>
      <c r="M268" s="54"/>
    </row>
    <row r="269" spans="12:13" s="52" customFormat="1">
      <c r="L269" s="53"/>
      <c r="M269" s="54"/>
    </row>
    <row r="270" spans="12:13" s="52" customFormat="1">
      <c r="L270" s="53"/>
      <c r="M270" s="54"/>
    </row>
    <row r="271" spans="12:13" s="52" customFormat="1">
      <c r="L271" s="53"/>
      <c r="M271" s="54"/>
    </row>
    <row r="272" spans="12:13" s="52" customFormat="1">
      <c r="L272" s="53"/>
      <c r="M272" s="54"/>
    </row>
    <row r="273" spans="12:13" s="52" customFormat="1">
      <c r="L273" s="53"/>
      <c r="M273" s="54"/>
    </row>
    <row r="274" spans="12:13" s="52" customFormat="1">
      <c r="L274" s="53"/>
      <c r="M274" s="54"/>
    </row>
    <row r="275" spans="12:13" s="52" customFormat="1">
      <c r="L275" s="53"/>
      <c r="M275" s="54"/>
    </row>
    <row r="276" spans="12:13" s="52" customFormat="1">
      <c r="L276" s="53"/>
      <c r="M276" s="54"/>
    </row>
    <row r="277" spans="12:13" s="52" customFormat="1">
      <c r="L277" s="53"/>
      <c r="M277" s="54"/>
    </row>
    <row r="278" spans="12:13" s="52" customFormat="1">
      <c r="L278" s="53"/>
      <c r="M278" s="54"/>
    </row>
    <row r="279" spans="12:13" s="52" customFormat="1">
      <c r="L279" s="53"/>
      <c r="M279" s="54"/>
    </row>
    <row r="280" spans="12:13" s="52" customFormat="1">
      <c r="L280" s="53"/>
      <c r="M280" s="54"/>
    </row>
    <row r="281" spans="12:13" s="52" customFormat="1">
      <c r="L281" s="53"/>
      <c r="M281" s="54"/>
    </row>
    <row r="282" spans="12:13" s="52" customFormat="1">
      <c r="L282" s="53"/>
      <c r="M282" s="54"/>
    </row>
    <row r="283" spans="12:13" s="52" customFormat="1">
      <c r="L283" s="53"/>
      <c r="M283" s="54"/>
    </row>
    <row r="284" spans="12:13" s="52" customFormat="1">
      <c r="L284" s="53"/>
      <c r="M284" s="54"/>
    </row>
    <row r="285" spans="12:13" s="52" customFormat="1">
      <c r="L285" s="53"/>
      <c r="M285" s="54"/>
    </row>
    <row r="286" spans="12:13" s="52" customFormat="1">
      <c r="L286" s="53"/>
      <c r="M286" s="54"/>
    </row>
    <row r="287" spans="12:13" s="52" customFormat="1">
      <c r="L287" s="53"/>
      <c r="M287" s="54"/>
    </row>
    <row r="288" spans="12:13" s="52" customFormat="1">
      <c r="L288" s="53"/>
      <c r="M288" s="54"/>
    </row>
    <row r="289" spans="12:13" s="52" customFormat="1">
      <c r="L289" s="53"/>
      <c r="M289" s="54"/>
    </row>
    <row r="290" spans="12:13" s="52" customFormat="1">
      <c r="L290" s="53"/>
      <c r="M290" s="54"/>
    </row>
    <row r="291" spans="12:13" s="52" customFormat="1">
      <c r="L291" s="53"/>
      <c r="M291" s="54"/>
    </row>
    <row r="292" spans="12:13" s="52" customFormat="1">
      <c r="L292" s="53"/>
      <c r="M292" s="54"/>
    </row>
    <row r="293" spans="12:13" s="52" customFormat="1">
      <c r="L293" s="53"/>
      <c r="M293" s="54"/>
    </row>
    <row r="294" spans="12:13" s="52" customFormat="1">
      <c r="L294" s="53"/>
      <c r="M294" s="54"/>
    </row>
    <row r="295" spans="12:13" s="52" customFormat="1">
      <c r="L295" s="53"/>
      <c r="M295" s="54"/>
    </row>
    <row r="296" spans="12:13" s="52" customFormat="1">
      <c r="L296" s="53"/>
      <c r="M296" s="54"/>
    </row>
    <row r="297" spans="12:13" s="52" customFormat="1">
      <c r="L297" s="53"/>
      <c r="M297" s="54"/>
    </row>
    <row r="298" spans="12:13" s="52" customFormat="1">
      <c r="L298" s="53"/>
      <c r="M298" s="54"/>
    </row>
    <row r="299" spans="12:13" s="52" customFormat="1">
      <c r="L299" s="53"/>
      <c r="M299" s="54"/>
    </row>
    <row r="300" spans="12:13" s="52" customFormat="1">
      <c r="L300" s="53"/>
      <c r="M300" s="54"/>
    </row>
    <row r="301" spans="12:13" s="52" customFormat="1">
      <c r="L301" s="53"/>
      <c r="M301" s="54"/>
    </row>
    <row r="302" spans="12:13" s="52" customFormat="1">
      <c r="L302" s="53"/>
      <c r="M302" s="54"/>
    </row>
    <row r="303" spans="12:13" s="52" customFormat="1">
      <c r="L303" s="53"/>
      <c r="M303" s="54"/>
    </row>
    <row r="304" spans="12:13" s="52" customFormat="1">
      <c r="L304" s="53"/>
      <c r="M304" s="54"/>
    </row>
    <row r="305" spans="12:13" s="52" customFormat="1">
      <c r="L305" s="53"/>
      <c r="M305" s="54"/>
    </row>
    <row r="306" spans="12:13" s="52" customFormat="1">
      <c r="L306" s="53"/>
      <c r="M306" s="54"/>
    </row>
    <row r="307" spans="12:13" s="52" customFormat="1">
      <c r="L307" s="53"/>
      <c r="M307" s="54"/>
    </row>
    <row r="308" spans="12:13" s="52" customFormat="1">
      <c r="L308" s="53"/>
      <c r="M308" s="54"/>
    </row>
    <row r="309" spans="12:13" s="52" customFormat="1">
      <c r="L309" s="53"/>
      <c r="M309" s="54"/>
    </row>
    <row r="310" spans="12:13" s="52" customFormat="1">
      <c r="L310" s="53"/>
      <c r="M310" s="54"/>
    </row>
    <row r="311" spans="12:13" s="52" customFormat="1">
      <c r="L311" s="53"/>
      <c r="M311" s="54"/>
    </row>
    <row r="312" spans="12:13" s="52" customFormat="1">
      <c r="L312" s="53"/>
      <c r="M312" s="54"/>
    </row>
    <row r="313" spans="12:13" s="52" customFormat="1">
      <c r="L313" s="53"/>
      <c r="M313" s="54"/>
    </row>
    <row r="314" spans="12:13" s="52" customFormat="1">
      <c r="L314" s="53"/>
      <c r="M314" s="54"/>
    </row>
    <row r="315" spans="12:13" s="52" customFormat="1">
      <c r="L315" s="53"/>
      <c r="M315" s="54"/>
    </row>
    <row r="316" spans="12:13" s="52" customFormat="1">
      <c r="L316" s="53"/>
      <c r="M316" s="54"/>
    </row>
    <row r="317" spans="12:13" s="52" customFormat="1">
      <c r="L317" s="53"/>
      <c r="M317" s="54"/>
    </row>
    <row r="318" spans="12:13" s="52" customFormat="1">
      <c r="L318" s="53"/>
      <c r="M318" s="54"/>
    </row>
    <row r="319" spans="12:13" s="52" customFormat="1">
      <c r="L319" s="53"/>
      <c r="M319" s="54"/>
    </row>
    <row r="320" spans="12:13" s="52" customFormat="1">
      <c r="L320" s="53"/>
      <c r="M320" s="54"/>
    </row>
    <row r="321" spans="12:13" s="52" customFormat="1">
      <c r="L321" s="53"/>
      <c r="M321" s="54"/>
    </row>
    <row r="322" spans="12:13" s="52" customFormat="1">
      <c r="L322" s="53"/>
      <c r="M322" s="54"/>
    </row>
    <row r="323" spans="12:13" s="52" customFormat="1">
      <c r="L323" s="53"/>
      <c r="M323" s="54"/>
    </row>
    <row r="324" spans="12:13" s="52" customFormat="1">
      <c r="L324" s="53"/>
      <c r="M324" s="54"/>
    </row>
    <row r="325" spans="12:13" s="52" customFormat="1">
      <c r="L325" s="53"/>
      <c r="M325" s="54"/>
    </row>
    <row r="326" spans="12:13" s="52" customFormat="1">
      <c r="L326" s="53"/>
      <c r="M326" s="54"/>
    </row>
    <row r="327" spans="12:13" s="52" customFormat="1">
      <c r="L327" s="53"/>
      <c r="M327" s="54"/>
    </row>
    <row r="328" spans="12:13" s="52" customFormat="1">
      <c r="L328" s="53"/>
      <c r="M328" s="54"/>
    </row>
    <row r="329" spans="12:13" s="52" customFormat="1">
      <c r="L329" s="53"/>
      <c r="M329" s="54"/>
    </row>
    <row r="330" spans="12:13" s="52" customFormat="1">
      <c r="L330" s="53"/>
      <c r="M330" s="54"/>
    </row>
    <row r="331" spans="12:13" s="52" customFormat="1">
      <c r="L331" s="53"/>
      <c r="M331" s="54"/>
    </row>
    <row r="332" spans="12:13" s="52" customFormat="1">
      <c r="L332" s="53"/>
      <c r="M332" s="54"/>
    </row>
    <row r="333" spans="12:13" s="52" customFormat="1">
      <c r="L333" s="53"/>
      <c r="M333" s="54"/>
    </row>
    <row r="334" spans="12:13" s="52" customFormat="1">
      <c r="L334" s="53"/>
      <c r="M334" s="54"/>
    </row>
    <row r="335" spans="12:13" s="52" customFormat="1">
      <c r="L335" s="53"/>
      <c r="M335" s="54"/>
    </row>
    <row r="336" spans="12:13" s="52" customFormat="1">
      <c r="L336" s="53"/>
      <c r="M336" s="54"/>
    </row>
    <row r="337" spans="12:13" s="52" customFormat="1">
      <c r="L337" s="53"/>
      <c r="M337" s="54"/>
    </row>
    <row r="338" spans="12:13" s="52" customFormat="1">
      <c r="L338" s="53"/>
      <c r="M338" s="54"/>
    </row>
    <row r="339" spans="12:13" s="52" customFormat="1">
      <c r="L339" s="53"/>
      <c r="M339" s="54"/>
    </row>
    <row r="340" spans="12:13" s="52" customFormat="1">
      <c r="L340" s="53"/>
      <c r="M340" s="54"/>
    </row>
    <row r="341" spans="12:13" s="52" customFormat="1">
      <c r="L341" s="53"/>
      <c r="M341" s="54"/>
    </row>
    <row r="342" spans="12:13" s="52" customFormat="1">
      <c r="L342" s="53"/>
      <c r="M342" s="54"/>
    </row>
    <row r="343" spans="12:13" s="52" customFormat="1">
      <c r="L343" s="53"/>
      <c r="M343" s="54"/>
    </row>
    <row r="344" spans="12:13" s="52" customFormat="1">
      <c r="L344" s="53"/>
      <c r="M344" s="54"/>
    </row>
    <row r="345" spans="12:13" s="52" customFormat="1">
      <c r="L345" s="53"/>
      <c r="M345" s="54"/>
    </row>
    <row r="346" spans="12:13" s="52" customFormat="1">
      <c r="L346" s="53"/>
      <c r="M346" s="54"/>
    </row>
    <row r="347" spans="12:13" s="52" customFormat="1">
      <c r="L347" s="53"/>
      <c r="M347" s="54"/>
    </row>
    <row r="348" spans="12:13" s="52" customFormat="1">
      <c r="L348" s="53"/>
      <c r="M348" s="54"/>
    </row>
    <row r="349" spans="12:13" s="52" customFormat="1">
      <c r="L349" s="53"/>
      <c r="M349" s="54"/>
    </row>
    <row r="350" spans="12:13" s="52" customFormat="1">
      <c r="L350" s="53"/>
      <c r="M350" s="54"/>
    </row>
    <row r="351" spans="12:13" s="52" customFormat="1">
      <c r="L351" s="53"/>
      <c r="M351" s="54"/>
    </row>
    <row r="352" spans="12:13" s="52" customFormat="1">
      <c r="L352" s="53"/>
      <c r="M352" s="54"/>
    </row>
    <row r="353" spans="12:13" s="52" customFormat="1">
      <c r="L353" s="53"/>
      <c r="M353" s="54"/>
    </row>
    <row r="354" spans="12:13" s="52" customFormat="1">
      <c r="L354" s="53"/>
      <c r="M354" s="54"/>
    </row>
    <row r="355" spans="12:13" s="52" customFormat="1">
      <c r="L355" s="53"/>
      <c r="M355" s="54"/>
    </row>
    <row r="356" spans="12:13" s="52" customFormat="1">
      <c r="L356" s="53"/>
      <c r="M356" s="54"/>
    </row>
    <row r="357" spans="12:13" s="52" customFormat="1">
      <c r="L357" s="53"/>
      <c r="M357" s="54"/>
    </row>
    <row r="358" spans="12:13" s="52" customFormat="1">
      <c r="L358" s="53"/>
      <c r="M358" s="54"/>
    </row>
    <row r="359" spans="12:13" s="52" customFormat="1">
      <c r="L359" s="53"/>
      <c r="M359" s="54"/>
    </row>
    <row r="360" spans="12:13" s="52" customFormat="1">
      <c r="L360" s="53"/>
      <c r="M360" s="54"/>
    </row>
    <row r="361" spans="12:13" s="52" customFormat="1">
      <c r="L361" s="53"/>
      <c r="M361" s="54"/>
    </row>
    <row r="362" spans="12:13" s="52" customFormat="1">
      <c r="L362" s="53"/>
      <c r="M362" s="54"/>
    </row>
    <row r="363" spans="12:13" s="52" customFormat="1">
      <c r="L363" s="53"/>
      <c r="M363" s="54"/>
    </row>
    <row r="364" spans="12:13" s="52" customFormat="1">
      <c r="L364" s="53"/>
      <c r="M364" s="54"/>
    </row>
    <row r="365" spans="12:13" s="52" customFormat="1">
      <c r="L365" s="53"/>
      <c r="M365" s="54"/>
    </row>
    <row r="366" spans="12:13" s="52" customFormat="1">
      <c r="L366" s="53"/>
      <c r="M366" s="54"/>
    </row>
    <row r="367" spans="12:13" s="52" customFormat="1">
      <c r="L367" s="53"/>
      <c r="M367" s="54"/>
    </row>
    <row r="368" spans="12:13" s="52" customFormat="1">
      <c r="L368" s="53"/>
      <c r="M368" s="54"/>
    </row>
    <row r="369" spans="12:13" s="52" customFormat="1">
      <c r="L369" s="53"/>
      <c r="M369" s="54"/>
    </row>
    <row r="370" spans="12:13" s="52" customFormat="1">
      <c r="L370" s="53"/>
      <c r="M370" s="54"/>
    </row>
    <row r="371" spans="12:13" s="52" customFormat="1">
      <c r="L371" s="53"/>
      <c r="M371" s="54"/>
    </row>
    <row r="372" spans="12:13" s="52" customFormat="1">
      <c r="L372" s="53"/>
      <c r="M372" s="54"/>
    </row>
    <row r="373" spans="12:13" s="52" customFormat="1">
      <c r="L373" s="53"/>
      <c r="M373" s="54"/>
    </row>
    <row r="374" spans="12:13" s="52" customFormat="1">
      <c r="L374" s="53"/>
      <c r="M374" s="54"/>
    </row>
    <row r="375" spans="12:13" s="52" customFormat="1">
      <c r="L375" s="53"/>
      <c r="M375" s="54"/>
    </row>
    <row r="376" spans="12:13" s="52" customFormat="1">
      <c r="L376" s="53"/>
      <c r="M376" s="54"/>
    </row>
    <row r="377" spans="12:13" s="52" customFormat="1">
      <c r="L377" s="53"/>
      <c r="M377" s="54"/>
    </row>
    <row r="378" spans="12:13" s="52" customFormat="1">
      <c r="L378" s="53"/>
      <c r="M378" s="54"/>
    </row>
    <row r="379" spans="12:13" s="52" customFormat="1">
      <c r="L379" s="53"/>
      <c r="M379" s="54"/>
    </row>
    <row r="380" spans="12:13" s="52" customFormat="1">
      <c r="L380" s="53"/>
      <c r="M380" s="54"/>
    </row>
    <row r="381" spans="12:13" s="52" customFormat="1">
      <c r="L381" s="53"/>
      <c r="M381" s="54"/>
    </row>
    <row r="382" spans="12:13" s="52" customFormat="1">
      <c r="L382" s="53"/>
      <c r="M382" s="54"/>
    </row>
    <row r="383" spans="12:13" s="52" customFormat="1">
      <c r="L383" s="53"/>
      <c r="M383" s="54"/>
    </row>
    <row r="384" spans="12:13" s="52" customFormat="1">
      <c r="L384" s="53"/>
      <c r="M384" s="54"/>
    </row>
    <row r="385" spans="12:13" s="52" customFormat="1">
      <c r="L385" s="53"/>
      <c r="M385" s="54"/>
    </row>
    <row r="386" spans="12:13" s="52" customFormat="1">
      <c r="L386" s="53"/>
      <c r="M386" s="54"/>
    </row>
    <row r="387" spans="12:13" s="52" customFormat="1">
      <c r="L387" s="53"/>
      <c r="M387" s="54"/>
    </row>
    <row r="388" spans="12:13" s="52" customFormat="1">
      <c r="L388" s="53"/>
      <c r="M388" s="54"/>
    </row>
    <row r="389" spans="12:13" s="52" customFormat="1">
      <c r="L389" s="53"/>
      <c r="M389" s="54"/>
    </row>
    <row r="390" spans="12:13" s="52" customFormat="1">
      <c r="L390" s="53"/>
      <c r="M390" s="54"/>
    </row>
    <row r="391" spans="12:13" s="52" customFormat="1">
      <c r="L391" s="53"/>
      <c r="M391" s="54"/>
    </row>
    <row r="392" spans="12:13" s="52" customFormat="1">
      <c r="L392" s="53"/>
      <c r="M392" s="54"/>
    </row>
    <row r="393" spans="12:13" s="52" customFormat="1">
      <c r="L393" s="53"/>
      <c r="M393" s="54"/>
    </row>
    <row r="394" spans="12:13" s="52" customFormat="1">
      <c r="L394" s="53"/>
      <c r="M394" s="54"/>
    </row>
    <row r="395" spans="12:13" s="52" customFormat="1">
      <c r="L395" s="53"/>
      <c r="M395" s="54"/>
    </row>
    <row r="396" spans="12:13" s="52" customFormat="1">
      <c r="L396" s="53"/>
      <c r="M396" s="54"/>
    </row>
    <row r="397" spans="12:13" s="52" customFormat="1">
      <c r="L397" s="53"/>
      <c r="M397" s="54"/>
    </row>
    <row r="398" spans="12:13" s="52" customFormat="1">
      <c r="L398" s="53"/>
      <c r="M398" s="54"/>
    </row>
    <row r="399" spans="12:13" s="52" customFormat="1">
      <c r="L399" s="53"/>
      <c r="M399" s="54"/>
    </row>
    <row r="400" spans="12:13" s="52" customFormat="1">
      <c r="L400" s="53"/>
      <c r="M400" s="54"/>
    </row>
    <row r="401" spans="12:13" s="52" customFormat="1">
      <c r="L401" s="53"/>
      <c r="M401" s="54"/>
    </row>
    <row r="402" spans="12:13" s="52" customFormat="1">
      <c r="L402" s="53"/>
      <c r="M402" s="54"/>
    </row>
    <row r="403" spans="12:13" s="52" customFormat="1">
      <c r="L403" s="53"/>
      <c r="M403" s="54"/>
    </row>
    <row r="404" spans="12:13" s="52" customFormat="1">
      <c r="L404" s="53"/>
      <c r="M404" s="54"/>
    </row>
    <row r="405" spans="12:13" s="52" customFormat="1">
      <c r="L405" s="53"/>
      <c r="M405" s="54"/>
    </row>
    <row r="406" spans="12:13" s="52" customFormat="1">
      <c r="L406" s="53"/>
      <c r="M406" s="54"/>
    </row>
    <row r="407" spans="12:13" s="52" customFormat="1">
      <c r="L407" s="53"/>
      <c r="M407" s="54"/>
    </row>
    <row r="408" spans="12:13" s="52" customFormat="1">
      <c r="L408" s="53"/>
      <c r="M408" s="54"/>
    </row>
    <row r="409" spans="12:13" s="52" customFormat="1">
      <c r="L409" s="53"/>
      <c r="M409" s="54"/>
    </row>
    <row r="410" spans="12:13" s="52" customFormat="1">
      <c r="L410" s="53"/>
      <c r="M410" s="54"/>
    </row>
    <row r="411" spans="12:13" s="52" customFormat="1">
      <c r="L411" s="53"/>
      <c r="M411" s="54"/>
    </row>
    <row r="412" spans="12:13" s="52" customFormat="1">
      <c r="L412" s="53"/>
      <c r="M412" s="54"/>
    </row>
    <row r="413" spans="12:13" s="52" customFormat="1">
      <c r="L413" s="53"/>
      <c r="M413" s="54"/>
    </row>
    <row r="414" spans="12:13" s="52" customFormat="1">
      <c r="L414" s="53"/>
      <c r="M414" s="54"/>
    </row>
    <row r="415" spans="12:13" s="52" customFormat="1">
      <c r="L415" s="53"/>
      <c r="M415" s="54"/>
    </row>
    <row r="416" spans="12:13" s="52" customFormat="1">
      <c r="L416" s="53"/>
      <c r="M416" s="54"/>
    </row>
    <row r="417" spans="12:13" s="52" customFormat="1">
      <c r="L417" s="53"/>
      <c r="M417" s="54"/>
    </row>
    <row r="418" spans="12:13" s="52" customFormat="1">
      <c r="L418" s="53"/>
      <c r="M418" s="54"/>
    </row>
    <row r="419" spans="12:13" s="52" customFormat="1">
      <c r="L419" s="53"/>
      <c r="M419" s="54"/>
    </row>
    <row r="420" spans="12:13" s="52" customFormat="1">
      <c r="L420" s="53"/>
      <c r="M420" s="54"/>
    </row>
    <row r="421" spans="12:13" s="52" customFormat="1">
      <c r="L421" s="53"/>
      <c r="M421" s="54"/>
    </row>
    <row r="422" spans="12:13" s="52" customFormat="1">
      <c r="L422" s="53"/>
      <c r="M422" s="54"/>
    </row>
    <row r="423" spans="12:13" s="52" customFormat="1">
      <c r="L423" s="53"/>
      <c r="M423" s="54"/>
    </row>
    <row r="424" spans="12:13" s="52" customFormat="1">
      <c r="L424" s="53"/>
      <c r="M424" s="54"/>
    </row>
    <row r="425" spans="12:13" s="52" customFormat="1">
      <c r="L425" s="53"/>
      <c r="M425" s="54"/>
    </row>
    <row r="426" spans="12:13" s="52" customFormat="1">
      <c r="L426" s="53"/>
      <c r="M426" s="54"/>
    </row>
    <row r="427" spans="12:13" s="52" customFormat="1">
      <c r="L427" s="53"/>
      <c r="M427" s="54"/>
    </row>
    <row r="428" spans="12:13" s="52" customFormat="1">
      <c r="L428" s="53"/>
      <c r="M428" s="54"/>
    </row>
    <row r="429" spans="12:13" s="52" customFormat="1">
      <c r="L429" s="53"/>
      <c r="M429" s="54"/>
    </row>
    <row r="430" spans="12:13" s="52" customFormat="1">
      <c r="L430" s="53"/>
      <c r="M430" s="54"/>
    </row>
    <row r="431" spans="12:13" s="52" customFormat="1">
      <c r="L431" s="53"/>
      <c r="M431" s="54"/>
    </row>
    <row r="432" spans="12:13" s="52" customFormat="1">
      <c r="L432" s="53"/>
      <c r="M432" s="54"/>
    </row>
    <row r="433" spans="12:121" s="52" customFormat="1">
      <c r="L433" s="53"/>
      <c r="M433" s="54"/>
    </row>
    <row r="434" spans="12:121" s="52" customFormat="1">
      <c r="L434" s="53"/>
      <c r="M434" s="54"/>
    </row>
    <row r="435" spans="12:121" s="52" customFormat="1">
      <c r="L435" s="53"/>
      <c r="M435" s="54"/>
    </row>
    <row r="436" spans="12:121" s="52" customFormat="1">
      <c r="L436" s="53"/>
      <c r="M436" s="54"/>
      <c r="DP436" s="58"/>
      <c r="DQ436" s="58"/>
    </row>
  </sheetData>
  <sheetProtection algorithmName="SHA-512" hashValue="L8pPvjdFq4qfxZOOAo8w1avQlMaC/lvfWgOGbJvrpfXc4BFXyHo4uL86hMivWXL+I2L/t6GK5nomTToBYtb3zA==" saltValue="xsDzOYYSM03HkcfcikFf5A==" spinCount="100000" sheet="1" formatCells="0" formatColumns="0" formatRows="0"/>
  <mergeCells count="11">
    <mergeCell ref="B196:L196"/>
    <mergeCell ref="B197:L197"/>
    <mergeCell ref="B198:L198"/>
    <mergeCell ref="B18:I18"/>
    <mergeCell ref="B2:D2"/>
    <mergeCell ref="B5:F5"/>
    <mergeCell ref="B11:G11"/>
    <mergeCell ref="B13:G13"/>
    <mergeCell ref="B134:C134"/>
    <mergeCell ref="B26:J26"/>
    <mergeCell ref="B28:J28"/>
  </mergeCells>
  <dataValidations count="2">
    <dataValidation type="list" allowBlank="1" showDropDown="1" showInputMessage="1" showErrorMessage="1" sqref="AB119 AB142:AB143 AB153" xr:uid="{D1A6682A-D5BC-4856-94D0-AF7ACEA9E240}">
      <formula1>Product</formula1>
    </dataValidation>
    <dataValidation type="list" allowBlank="1" showInputMessage="1" showErrorMessage="1" sqref="F42" xr:uid="{125DFF8F-AB35-4B69-99D9-D2A75DAC2541}">
      <formula1>Select_units</formula1>
    </dataValidation>
  </dataValidations>
  <hyperlinks>
    <hyperlink ref="B8" location="'PT 3 - vet hyg footwear'!Input" display="Input table" xr:uid="{1FC80FBD-EABC-4E58-B18D-7BECB999DC77}"/>
    <hyperlink ref="B9" location="'PT 3 - vet hyg footwear'!Intermediate_calculations" display="Intermediate calculations" xr:uid="{ECC06CF4-CF0E-4533-BCFF-65AB3F754575}"/>
    <hyperlink ref="B10" location="'PT 3 - vet hyg footwear'!Output" display="Output table" xr:uid="{533562F3-C4F2-4172-B688-8EEE4B525793}"/>
    <hyperlink ref="B11:G11" location="'PT 3 - vet hyg footwear'!Soil___arable_land" display="    Soil - arable land" xr:uid="{D26D5465-A23C-47B4-9DC3-04AB7B2326A3}"/>
    <hyperlink ref="B13:G13" location="'PT 3 - vet hyg footwear'!Soil___grassland" display="    Soil - grassland" xr:uid="{BF3FFEF4-F16B-4B93-808A-73C3641821D2}"/>
    <hyperlink ref="B12" location="'PT 3 - vet hyg footwear'!Groundwater_and_surface_water_ar" display="    Groundwater and surface water - in arable land areas" xr:uid="{504EE21D-CCA7-4D03-AF4B-86A9461D423B}"/>
    <hyperlink ref="B14" location="'PT 3 - vet hyg footwear'!Groundwater_and_surface_water_gr" display="    Groundwater and surface water - in grassland areas" xr:uid="{E479F84E-2A9C-4CC5-BC56-B3F91ED92A5A}"/>
    <hyperlink ref="B15" location="'PT 3 - vet hyg footwear'!STP" display="    STP" xr:uid="{B7EA9F02-D89C-4DFF-B59A-4E1D281A4DE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953D-8B66-4D60-A8E3-E01D5D6C6AB8}">
  <dimension ref="A1:DR448"/>
  <sheetViews>
    <sheetView zoomScaleNormal="100" workbookViewId="0"/>
  </sheetViews>
  <sheetFormatPr defaultColWidth="8.7265625" defaultRowHeight="12.6"/>
  <cols>
    <col min="1" max="1" width="1.6328125" style="52" customWidth="1"/>
    <col min="2" max="2" width="50.6328125" style="58" customWidth="1"/>
    <col min="3" max="3" width="35.6328125" style="58" customWidth="1"/>
    <col min="4" max="4" width="80.6328125" style="58" customWidth="1"/>
    <col min="5" max="5" width="10.6328125" style="58" customWidth="1"/>
    <col min="6" max="6" width="15.6328125" style="58" customWidth="1"/>
    <col min="7" max="7" width="1.6328125" style="58" customWidth="1"/>
    <col min="8" max="8" width="15.6328125" style="58" customWidth="1"/>
    <col min="9" max="10" width="12.90625" style="58" customWidth="1"/>
    <col min="11" max="11" width="12.90625" style="53" customWidth="1"/>
    <col min="12" max="101" width="8.7265625" style="52"/>
    <col min="102" max="16384" width="8.7265625" style="58"/>
  </cols>
  <sheetData>
    <row r="1" spans="1:11" s="52" customFormat="1">
      <c r="K1" s="53"/>
    </row>
    <row r="2" spans="1:11" ht="19.8">
      <c r="A2" s="55"/>
      <c r="B2" s="491" t="s">
        <v>191</v>
      </c>
      <c r="C2" s="491"/>
      <c r="D2" s="491"/>
      <c r="E2" s="56"/>
      <c r="F2" s="56"/>
      <c r="G2" s="56"/>
      <c r="H2" s="56"/>
      <c r="I2" s="56"/>
      <c r="J2" s="56"/>
      <c r="K2" s="57"/>
    </row>
    <row r="3" spans="1:11" ht="13.2">
      <c r="A3" s="55"/>
      <c r="B3" s="59"/>
      <c r="C3" s="59"/>
      <c r="D3" s="55"/>
      <c r="E3" s="55"/>
      <c r="F3" s="55"/>
      <c r="G3" s="55"/>
      <c r="H3" s="55"/>
      <c r="I3" s="55"/>
      <c r="J3" s="55"/>
      <c r="K3" s="57"/>
    </row>
    <row r="4" spans="1:11" ht="13.2">
      <c r="A4" s="55"/>
      <c r="B4" s="59"/>
      <c r="C4" s="59"/>
      <c r="D4" s="55"/>
      <c r="E4" s="55"/>
      <c r="F4" s="55"/>
      <c r="G4" s="55"/>
      <c r="H4" s="55"/>
      <c r="I4" s="55"/>
      <c r="J4" s="55"/>
      <c r="K4" s="57"/>
    </row>
    <row r="5" spans="1:11" ht="18" customHeight="1">
      <c r="A5" s="55"/>
      <c r="B5" s="492" t="s">
        <v>347</v>
      </c>
      <c r="C5" s="492"/>
      <c r="D5" s="492"/>
      <c r="E5" s="492"/>
      <c r="F5" s="492"/>
      <c r="G5" s="410"/>
      <c r="H5" s="60"/>
      <c r="I5" s="60"/>
      <c r="J5" s="60"/>
      <c r="K5" s="60"/>
    </row>
    <row r="6" spans="1:11" ht="16.2">
      <c r="A6" s="55"/>
      <c r="B6" s="62"/>
      <c r="C6" s="62"/>
      <c r="D6" s="63"/>
      <c r="E6" s="63"/>
      <c r="F6" s="63"/>
      <c r="G6" s="63"/>
      <c r="H6" s="63"/>
      <c r="I6" s="63"/>
      <c r="J6" s="63"/>
      <c r="K6" s="55"/>
    </row>
    <row r="7" spans="1:11" s="52" customFormat="1" ht="14.25" customHeight="1">
      <c r="A7" s="55"/>
      <c r="B7" s="310" t="s">
        <v>118</v>
      </c>
      <c r="C7" s="49"/>
      <c r="D7" s="49"/>
      <c r="E7" s="49"/>
      <c r="F7" s="49"/>
      <c r="G7" s="158"/>
      <c r="H7" s="158"/>
      <c r="I7" s="64"/>
      <c r="J7" s="64"/>
      <c r="K7" s="64"/>
    </row>
    <row r="8" spans="1:11" s="52" customFormat="1" ht="14.25" customHeight="1">
      <c r="A8" s="55"/>
      <c r="B8" s="411" t="s">
        <v>119</v>
      </c>
      <c r="C8" s="158"/>
      <c r="D8" s="158"/>
      <c r="E8" s="158"/>
      <c r="F8" s="158"/>
      <c r="G8" s="158"/>
      <c r="H8" s="158"/>
      <c r="I8" s="64"/>
      <c r="J8" s="64"/>
      <c r="K8" s="64"/>
    </row>
    <row r="9" spans="1:11" s="52" customFormat="1" ht="14.25" customHeight="1">
      <c r="A9" s="55"/>
      <c r="B9" s="411" t="s">
        <v>49</v>
      </c>
      <c r="C9" s="158"/>
      <c r="D9" s="158"/>
      <c r="E9" s="158"/>
      <c r="F9" s="158"/>
      <c r="G9" s="158"/>
      <c r="H9" s="158"/>
      <c r="I9" s="64"/>
      <c r="J9" s="64"/>
      <c r="K9" s="64"/>
    </row>
    <row r="10" spans="1:11" s="52" customFormat="1" ht="14.25" customHeight="1">
      <c r="A10" s="55"/>
      <c r="B10" s="411" t="s">
        <v>120</v>
      </c>
      <c r="C10" s="158"/>
      <c r="D10" s="158"/>
      <c r="E10" s="158"/>
      <c r="F10" s="158"/>
      <c r="G10" s="158"/>
      <c r="H10" s="158"/>
      <c r="I10" s="64"/>
      <c r="J10" s="64"/>
      <c r="K10" s="64"/>
    </row>
    <row r="11" spans="1:11" s="52" customFormat="1" ht="14.25" customHeight="1">
      <c r="A11" s="55"/>
      <c r="B11" s="496" t="s">
        <v>121</v>
      </c>
      <c r="C11" s="496"/>
      <c r="D11" s="496"/>
      <c r="E11" s="496"/>
      <c r="F11" s="496"/>
      <c r="G11" s="496"/>
      <c r="H11" s="158"/>
      <c r="I11" s="64"/>
      <c r="J11" s="64"/>
      <c r="K11" s="64"/>
    </row>
    <row r="12" spans="1:11" s="52" customFormat="1" ht="14.25" customHeight="1">
      <c r="A12" s="55"/>
      <c r="B12" s="496" t="s">
        <v>122</v>
      </c>
      <c r="C12" s="496"/>
      <c r="D12" s="496"/>
      <c r="E12" s="496"/>
      <c r="F12" s="496"/>
      <c r="G12" s="496"/>
      <c r="H12" s="158"/>
      <c r="I12" s="64"/>
      <c r="J12" s="64"/>
      <c r="K12" s="64"/>
    </row>
    <row r="13" spans="1:11" s="52" customFormat="1" ht="14.25" customHeight="1">
      <c r="A13" s="55"/>
      <c r="B13" s="411" t="s">
        <v>323</v>
      </c>
      <c r="C13" s="65"/>
      <c r="D13" s="65"/>
      <c r="E13" s="65"/>
      <c r="F13" s="65"/>
      <c r="G13" s="65"/>
      <c r="H13" s="158"/>
      <c r="I13" s="64"/>
      <c r="J13" s="64"/>
      <c r="K13" s="64"/>
    </row>
    <row r="14" spans="1:11" s="52" customFormat="1" ht="14.25" customHeight="1">
      <c r="A14" s="55"/>
      <c r="B14" s="411" t="s">
        <v>324</v>
      </c>
      <c r="C14" s="65"/>
      <c r="D14" s="65"/>
      <c r="E14" s="65"/>
      <c r="F14" s="65"/>
      <c r="G14" s="65"/>
      <c r="H14" s="158"/>
      <c r="I14" s="64"/>
      <c r="J14" s="64"/>
      <c r="K14" s="64"/>
    </row>
    <row r="15" spans="1:11" s="52" customFormat="1" ht="14.25" customHeight="1">
      <c r="A15" s="55"/>
      <c r="B15" s="411" t="s">
        <v>123</v>
      </c>
      <c r="C15" s="65"/>
      <c r="D15" s="65"/>
      <c r="E15" s="65"/>
      <c r="F15" s="65"/>
      <c r="G15" s="65"/>
      <c r="H15" s="158"/>
      <c r="I15" s="64"/>
      <c r="J15" s="64"/>
      <c r="K15" s="64"/>
    </row>
    <row r="16" spans="1:11" s="52" customFormat="1" ht="14.25" customHeight="1">
      <c r="A16" s="55"/>
      <c r="B16" s="65"/>
      <c r="C16" s="311"/>
      <c r="D16" s="311"/>
      <c r="E16" s="311"/>
      <c r="F16" s="311"/>
      <c r="G16" s="311"/>
      <c r="H16" s="158"/>
      <c r="I16" s="64"/>
      <c r="J16" s="64"/>
      <c r="K16" s="64"/>
    </row>
    <row r="17" spans="1:120" s="67" customFormat="1" ht="17.399999999999999">
      <c r="A17" s="66"/>
      <c r="B17" s="68" t="s">
        <v>125</v>
      </c>
      <c r="C17" s="69"/>
      <c r="D17" s="69"/>
      <c r="E17" s="69"/>
      <c r="F17" s="70"/>
      <c r="G17" s="70"/>
      <c r="H17" s="70"/>
      <c r="I17" s="71"/>
      <c r="J17" s="71"/>
      <c r="K17" s="64"/>
    </row>
    <row r="18" spans="1:120" s="72" customFormat="1" ht="13.8">
      <c r="B18" s="505" t="s">
        <v>124</v>
      </c>
      <c r="C18" s="505"/>
      <c r="D18" s="505"/>
      <c r="E18" s="505"/>
      <c r="F18" s="505"/>
      <c r="G18" s="505"/>
      <c r="H18" s="505"/>
      <c r="I18" s="505"/>
      <c r="J18" s="73"/>
      <c r="K18" s="71"/>
    </row>
    <row r="19" spans="1:120" s="52" customFormat="1" ht="13.8">
      <c r="A19" s="55"/>
      <c r="B19" s="55"/>
      <c r="C19" s="55"/>
      <c r="D19" s="55"/>
      <c r="E19" s="55"/>
      <c r="F19" s="55"/>
      <c r="G19" s="55"/>
      <c r="H19" s="55"/>
      <c r="I19" s="55"/>
      <c r="J19" s="55"/>
      <c r="K19" s="73"/>
    </row>
    <row r="20" spans="1:120">
      <c r="A20" s="55"/>
      <c r="B20" s="457" t="s">
        <v>55</v>
      </c>
      <c r="C20" s="76"/>
      <c r="D20" s="55"/>
      <c r="E20" s="55"/>
      <c r="F20" s="55"/>
      <c r="G20" s="55"/>
      <c r="H20" s="55"/>
      <c r="I20" s="55"/>
      <c r="J20" s="55"/>
      <c r="K20" s="57"/>
    </row>
    <row r="21" spans="1:120">
      <c r="A21" s="55"/>
      <c r="B21" s="54" t="s">
        <v>54</v>
      </c>
      <c r="C21" s="54"/>
      <c r="D21" s="54"/>
      <c r="E21" s="54"/>
      <c r="F21" s="54"/>
      <c r="G21" s="54"/>
      <c r="H21" s="54"/>
      <c r="I21" s="54"/>
      <c r="J21" s="54"/>
      <c r="K21" s="78"/>
      <c r="L21" s="78"/>
      <c r="M21" s="78"/>
      <c r="N21" s="79"/>
      <c r="O21" s="55"/>
      <c r="P21" s="55"/>
      <c r="Q21" s="55"/>
      <c r="R21" s="55"/>
      <c r="S21" s="55"/>
      <c r="T21" s="55"/>
      <c r="U21" s="55"/>
      <c r="V21" s="55"/>
      <c r="W21" s="55"/>
      <c r="CX21" s="52"/>
      <c r="CY21" s="52"/>
      <c r="CZ21" s="52"/>
      <c r="DA21" s="52"/>
      <c r="DB21" s="52"/>
      <c r="DC21" s="52"/>
      <c r="DD21" s="52"/>
      <c r="DE21" s="52"/>
      <c r="DF21" s="52"/>
      <c r="DG21" s="52"/>
      <c r="DH21" s="52"/>
      <c r="DI21" s="52"/>
      <c r="DJ21" s="52"/>
      <c r="DK21" s="52"/>
      <c r="DL21" s="52"/>
      <c r="DM21" s="52"/>
      <c r="DN21" s="52"/>
      <c r="DO21" s="52"/>
      <c r="DP21" s="52"/>
    </row>
    <row r="22" spans="1:120">
      <c r="A22" s="55"/>
      <c r="B22" s="473" t="s">
        <v>584</v>
      </c>
      <c r="C22" s="474"/>
      <c r="D22" s="474"/>
      <c r="E22" s="474"/>
      <c r="F22" s="474"/>
      <c r="G22" s="474"/>
      <c r="H22" s="474"/>
      <c r="I22" s="474"/>
      <c r="J22" s="474"/>
      <c r="K22" s="78"/>
      <c r="L22" s="78"/>
      <c r="M22" s="78"/>
      <c r="N22" s="79"/>
      <c r="O22" s="55"/>
      <c r="P22" s="55"/>
      <c r="Q22" s="55"/>
      <c r="R22" s="55"/>
      <c r="S22" s="55"/>
      <c r="T22" s="55"/>
      <c r="U22" s="55"/>
      <c r="V22" s="55"/>
      <c r="W22" s="55"/>
      <c r="CX22" s="52"/>
      <c r="CY22" s="52"/>
      <c r="CZ22" s="52"/>
      <c r="DA22" s="52"/>
      <c r="DB22" s="52"/>
      <c r="DC22" s="52"/>
      <c r="DD22" s="52"/>
      <c r="DE22" s="52"/>
      <c r="DF22" s="52"/>
      <c r="DG22" s="52"/>
      <c r="DH22" s="52"/>
      <c r="DI22" s="52"/>
      <c r="DJ22" s="52"/>
      <c r="DK22" s="52"/>
      <c r="DL22" s="52"/>
      <c r="DM22" s="52"/>
      <c r="DN22" s="52"/>
      <c r="DO22" s="52"/>
      <c r="DP22" s="52"/>
    </row>
    <row r="23" spans="1:120" ht="13.8">
      <c r="A23" s="55"/>
      <c r="B23" s="473" t="s">
        <v>585</v>
      </c>
      <c r="C23" s="474"/>
      <c r="D23" s="474"/>
      <c r="E23" s="474"/>
      <c r="F23" s="474"/>
      <c r="G23" s="474"/>
      <c r="H23" s="474"/>
      <c r="I23" s="474"/>
      <c r="J23" s="474"/>
      <c r="K23" s="78"/>
      <c r="L23" s="78"/>
      <c r="M23" s="78"/>
      <c r="N23" s="79"/>
      <c r="O23" s="55"/>
      <c r="P23" s="55"/>
      <c r="Q23" s="55"/>
      <c r="R23" s="55"/>
      <c r="S23" s="55"/>
      <c r="T23" s="55"/>
      <c r="U23" s="55"/>
      <c r="V23" s="55"/>
      <c r="W23" s="55"/>
      <c r="CX23" s="52"/>
      <c r="CY23" s="52"/>
      <c r="CZ23" s="52"/>
      <c r="DA23" s="52"/>
      <c r="DB23" s="52"/>
      <c r="DC23" s="52"/>
      <c r="DD23" s="52"/>
      <c r="DE23" s="52"/>
      <c r="DF23" s="52"/>
      <c r="DG23" s="52"/>
      <c r="DH23" s="52"/>
      <c r="DI23" s="52"/>
      <c r="DJ23" s="52"/>
      <c r="DK23" s="52"/>
      <c r="DL23" s="52"/>
      <c r="DM23" s="52"/>
      <c r="DN23" s="52"/>
      <c r="DO23" s="52"/>
      <c r="DP23" s="52"/>
    </row>
    <row r="24" spans="1:120">
      <c r="A24" s="55"/>
      <c r="B24" s="473" t="s">
        <v>577</v>
      </c>
      <c r="C24" s="474"/>
      <c r="D24" s="474"/>
      <c r="E24" s="474"/>
      <c r="F24" s="474"/>
      <c r="G24" s="474"/>
      <c r="H24" s="474"/>
      <c r="I24" s="474"/>
      <c r="J24" s="474"/>
      <c r="K24" s="78"/>
      <c r="L24" s="78"/>
      <c r="M24" s="78"/>
      <c r="N24" s="79"/>
      <c r="O24" s="55"/>
      <c r="P24" s="55"/>
      <c r="Q24" s="55"/>
      <c r="R24" s="55"/>
      <c r="S24" s="55"/>
      <c r="T24" s="55"/>
      <c r="U24" s="55"/>
      <c r="V24" s="55"/>
      <c r="W24" s="55"/>
      <c r="CX24" s="52"/>
      <c r="CY24" s="52"/>
      <c r="CZ24" s="52"/>
      <c r="DA24" s="52"/>
      <c r="DB24" s="52"/>
      <c r="DC24" s="52"/>
      <c r="DD24" s="52"/>
      <c r="DE24" s="52"/>
      <c r="DF24" s="52"/>
      <c r="DG24" s="52"/>
      <c r="DH24" s="52"/>
      <c r="DI24" s="52"/>
      <c r="DJ24" s="52"/>
      <c r="DK24" s="52"/>
      <c r="DL24" s="52"/>
      <c r="DM24" s="52"/>
      <c r="DN24" s="52"/>
      <c r="DO24" s="52"/>
      <c r="DP24" s="52"/>
    </row>
    <row r="25" spans="1:120" ht="17.25" customHeight="1">
      <c r="A25" s="55"/>
      <c r="B25" s="473" t="s">
        <v>586</v>
      </c>
      <c r="C25" s="473"/>
      <c r="D25" s="473"/>
      <c r="E25" s="473"/>
      <c r="F25" s="473"/>
      <c r="G25" s="473"/>
      <c r="H25" s="473"/>
      <c r="I25" s="473"/>
      <c r="J25" s="473"/>
      <c r="K25" s="78"/>
      <c r="L25" s="78"/>
      <c r="M25" s="78"/>
      <c r="N25" s="79"/>
      <c r="O25" s="55"/>
      <c r="P25" s="55"/>
      <c r="Q25" s="55"/>
      <c r="R25" s="55"/>
      <c r="S25" s="55"/>
      <c r="T25" s="55"/>
      <c r="U25" s="55"/>
      <c r="V25" s="55"/>
      <c r="W25" s="55"/>
      <c r="CX25" s="52"/>
      <c r="CY25" s="52"/>
      <c r="CZ25" s="52"/>
      <c r="DA25" s="52"/>
      <c r="DB25" s="52"/>
      <c r="DC25" s="52"/>
      <c r="DD25" s="52"/>
      <c r="DE25" s="52"/>
      <c r="DF25" s="52"/>
      <c r="DG25" s="52"/>
      <c r="DH25" s="52"/>
      <c r="DI25" s="52"/>
      <c r="DJ25" s="52"/>
      <c r="DK25" s="52"/>
      <c r="DL25" s="52"/>
      <c r="DM25" s="52"/>
      <c r="DN25" s="52"/>
      <c r="DO25" s="52"/>
      <c r="DP25" s="52"/>
    </row>
    <row r="26" spans="1:120" ht="12.75" customHeight="1">
      <c r="A26" s="55"/>
      <c r="B26" s="499" t="s">
        <v>579</v>
      </c>
      <c r="C26" s="499"/>
      <c r="D26" s="499"/>
      <c r="E26" s="499"/>
      <c r="F26" s="499"/>
      <c r="G26" s="499"/>
      <c r="H26" s="499"/>
      <c r="I26" s="499"/>
      <c r="J26" s="475"/>
      <c r="K26" s="78"/>
      <c r="L26" s="78"/>
      <c r="M26" s="78"/>
      <c r="N26" s="79"/>
      <c r="O26" s="55"/>
      <c r="P26" s="55"/>
      <c r="Q26" s="55"/>
      <c r="R26" s="55"/>
      <c r="S26" s="55"/>
      <c r="T26" s="55"/>
      <c r="U26" s="55"/>
      <c r="V26" s="55"/>
      <c r="W26" s="55"/>
      <c r="CX26" s="52"/>
      <c r="CY26" s="52"/>
      <c r="CZ26" s="52"/>
      <c r="DA26" s="52"/>
      <c r="DB26" s="52"/>
      <c r="DC26" s="52"/>
      <c r="DD26" s="52"/>
      <c r="DE26" s="52"/>
      <c r="DF26" s="52"/>
      <c r="DG26" s="52"/>
      <c r="DH26" s="52"/>
      <c r="DI26" s="52"/>
      <c r="DJ26" s="52"/>
      <c r="DK26" s="52"/>
      <c r="DL26" s="52"/>
      <c r="DM26" s="52"/>
      <c r="DN26" s="52"/>
      <c r="DO26" s="52"/>
      <c r="DP26" s="52"/>
    </row>
    <row r="27" spans="1:120">
      <c r="A27" s="55"/>
      <c r="B27" s="473" t="s">
        <v>582</v>
      </c>
      <c r="C27" s="474"/>
      <c r="D27" s="474"/>
      <c r="E27" s="474"/>
      <c r="F27" s="474"/>
      <c r="G27" s="474"/>
      <c r="H27" s="474"/>
      <c r="I27" s="474"/>
      <c r="J27" s="474"/>
      <c r="K27" s="78"/>
      <c r="L27" s="78"/>
      <c r="M27" s="78"/>
      <c r="N27" s="79"/>
      <c r="O27" s="55"/>
      <c r="P27" s="55"/>
      <c r="Q27" s="55"/>
      <c r="R27" s="55"/>
      <c r="S27" s="55"/>
      <c r="T27" s="55"/>
      <c r="U27" s="55"/>
      <c r="V27" s="55"/>
      <c r="W27" s="55"/>
      <c r="CX27" s="52"/>
      <c r="CY27" s="52"/>
      <c r="CZ27" s="52"/>
      <c r="DA27" s="52"/>
      <c r="DB27" s="52"/>
      <c r="DC27" s="52"/>
      <c r="DD27" s="52"/>
      <c r="DE27" s="52"/>
      <c r="DF27" s="52"/>
      <c r="DG27" s="52"/>
      <c r="DH27" s="52"/>
      <c r="DI27" s="52"/>
      <c r="DJ27" s="52"/>
      <c r="DK27" s="52"/>
      <c r="DL27" s="52"/>
      <c r="DM27" s="52"/>
      <c r="DN27" s="52"/>
      <c r="DO27" s="52"/>
      <c r="DP27" s="52"/>
    </row>
    <row r="28" spans="1:120" ht="25.5" customHeight="1">
      <c r="A28" s="55"/>
      <c r="B28" s="499" t="s">
        <v>583</v>
      </c>
      <c r="C28" s="499"/>
      <c r="D28" s="499"/>
      <c r="E28" s="499"/>
      <c r="F28" s="499"/>
      <c r="G28" s="499"/>
      <c r="H28" s="499"/>
      <c r="I28" s="499"/>
      <c r="J28" s="475"/>
      <c r="K28" s="78"/>
      <c r="L28" s="78"/>
      <c r="M28" s="78"/>
      <c r="N28" s="79"/>
      <c r="O28" s="55"/>
      <c r="P28" s="55"/>
      <c r="Q28" s="55"/>
      <c r="R28" s="55"/>
      <c r="S28" s="55"/>
      <c r="T28" s="55"/>
      <c r="U28" s="55"/>
      <c r="V28" s="55"/>
      <c r="W28" s="55"/>
      <c r="CX28" s="52"/>
      <c r="CY28" s="52"/>
      <c r="CZ28" s="52"/>
      <c r="DA28" s="52"/>
      <c r="DB28" s="52"/>
      <c r="DC28" s="52"/>
      <c r="DD28" s="52"/>
      <c r="DE28" s="52"/>
      <c r="DF28" s="52"/>
      <c r="DG28" s="52"/>
      <c r="DH28" s="52"/>
      <c r="DI28" s="52"/>
      <c r="DJ28" s="52"/>
      <c r="DK28" s="52"/>
      <c r="DL28" s="52"/>
      <c r="DM28" s="52"/>
      <c r="DN28" s="52"/>
      <c r="DO28" s="52"/>
      <c r="DP28" s="52"/>
    </row>
    <row r="29" spans="1:120">
      <c r="A29" s="55"/>
      <c r="B29" s="54" t="s">
        <v>111</v>
      </c>
      <c r="C29" s="366"/>
      <c r="D29" s="366"/>
      <c r="E29" s="366"/>
      <c r="F29" s="366"/>
      <c r="G29" s="366"/>
      <c r="H29" s="366"/>
      <c r="I29" s="366"/>
      <c r="J29" s="366"/>
      <c r="K29" s="78"/>
      <c r="L29" s="78"/>
      <c r="M29" s="78"/>
      <c r="N29" s="79"/>
      <c r="O29" s="55"/>
      <c r="P29" s="55"/>
      <c r="Q29" s="55"/>
      <c r="R29" s="55"/>
      <c r="S29" s="55"/>
      <c r="T29" s="55"/>
      <c r="U29" s="55"/>
      <c r="V29" s="55"/>
      <c r="W29" s="55"/>
      <c r="CX29" s="52"/>
      <c r="CY29" s="52"/>
      <c r="CZ29" s="52"/>
      <c r="DA29" s="52"/>
      <c r="DB29" s="52"/>
      <c r="DC29" s="52"/>
      <c r="DD29" s="52"/>
      <c r="DE29" s="52"/>
      <c r="DF29" s="52"/>
      <c r="DG29" s="52"/>
      <c r="DH29" s="52"/>
      <c r="DI29" s="52"/>
      <c r="DJ29" s="52"/>
      <c r="DK29" s="52"/>
      <c r="DL29" s="52"/>
      <c r="DM29" s="52"/>
      <c r="DN29" s="52"/>
      <c r="DO29" s="52"/>
      <c r="DP29" s="52"/>
    </row>
    <row r="30" spans="1:120">
      <c r="A30" s="55"/>
      <c r="B30" s="77"/>
      <c r="C30" s="77"/>
      <c r="D30" s="77"/>
      <c r="E30" s="77"/>
      <c r="F30" s="77"/>
      <c r="G30" s="77"/>
      <c r="H30" s="78"/>
      <c r="I30" s="78"/>
      <c r="J30" s="78"/>
      <c r="K30" s="78"/>
    </row>
    <row r="31" spans="1:120" ht="16.2">
      <c r="A31" s="55"/>
      <c r="B31" s="80" t="s">
        <v>0</v>
      </c>
      <c r="C31" s="80"/>
      <c r="D31" s="81"/>
      <c r="E31" s="81"/>
      <c r="F31" s="81"/>
      <c r="G31" s="81"/>
      <c r="H31" s="81"/>
      <c r="I31" s="81"/>
      <c r="J31" s="81"/>
      <c r="K31" s="81"/>
    </row>
    <row r="32" spans="1:120">
      <c r="A32" s="55"/>
      <c r="B32" s="83"/>
      <c r="C32" s="83"/>
      <c r="D32" s="83"/>
      <c r="E32" s="83"/>
      <c r="F32" s="83"/>
      <c r="G32" s="83"/>
      <c r="H32" s="83"/>
      <c r="I32" s="83"/>
      <c r="J32" s="83"/>
      <c r="K32" s="90"/>
    </row>
    <row r="33" spans="1:103" s="52" customFormat="1" ht="13.8">
      <c r="A33" s="55"/>
      <c r="B33" s="87" t="s">
        <v>2</v>
      </c>
      <c r="C33" s="88" t="s">
        <v>4</v>
      </c>
      <c r="D33" s="88" t="s">
        <v>9</v>
      </c>
      <c r="E33" s="89" t="s">
        <v>11</v>
      </c>
      <c r="F33" s="89" t="s">
        <v>3</v>
      </c>
      <c r="G33" s="89"/>
      <c r="H33" s="89" t="s">
        <v>7</v>
      </c>
      <c r="I33" s="86"/>
      <c r="J33" s="86"/>
      <c r="K33" s="84"/>
    </row>
    <row r="34" spans="1:103" s="52" customFormat="1">
      <c r="A34" s="55"/>
      <c r="B34" s="91"/>
      <c r="C34" s="83"/>
      <c r="D34" s="83"/>
      <c r="E34" s="83"/>
      <c r="F34" s="83"/>
      <c r="G34" s="83"/>
      <c r="H34" s="84"/>
      <c r="I34" s="86"/>
      <c r="J34" s="86"/>
      <c r="K34" s="90"/>
    </row>
    <row r="35" spans="1:103" s="52" customFormat="1">
      <c r="A35" s="55"/>
      <c r="B35" s="289" t="s">
        <v>307</v>
      </c>
      <c r="C35" s="289"/>
      <c r="D35" s="289"/>
      <c r="E35" s="289"/>
      <c r="F35" s="289"/>
      <c r="G35" s="289"/>
      <c r="H35" s="289"/>
      <c r="I35" s="86"/>
      <c r="J35" s="92"/>
      <c r="K35" s="90"/>
    </row>
    <row r="36" spans="1:103" s="52" customFormat="1" ht="16.2">
      <c r="A36" s="55"/>
      <c r="B36" s="289" t="s">
        <v>309</v>
      </c>
      <c r="C36" s="304"/>
      <c r="D36" s="304"/>
      <c r="E36" s="304"/>
      <c r="F36" s="304"/>
      <c r="G36" s="304"/>
      <c r="H36" s="304"/>
      <c r="I36" s="86"/>
      <c r="J36" s="92"/>
      <c r="K36" s="84"/>
    </row>
    <row r="37" spans="1:103" s="52" customFormat="1" ht="16.2">
      <c r="A37" s="55"/>
      <c r="B37" s="289"/>
      <c r="C37" s="304"/>
      <c r="D37" s="304"/>
      <c r="E37" s="304"/>
      <c r="F37" s="304"/>
      <c r="G37" s="304"/>
      <c r="H37" s="304"/>
      <c r="I37" s="86"/>
      <c r="J37" s="92"/>
      <c r="K37" s="84"/>
    </row>
    <row r="38" spans="1:103" s="52" customFormat="1" ht="16.8" thickBot="1">
      <c r="A38" s="55"/>
      <c r="B38" s="432" t="s">
        <v>518</v>
      </c>
      <c r="C38" s="304"/>
      <c r="D38" s="304"/>
      <c r="E38" s="304"/>
      <c r="F38" s="304"/>
      <c r="G38" s="304"/>
      <c r="H38" s="304"/>
      <c r="I38" s="86"/>
      <c r="J38" s="92"/>
      <c r="K38" s="84"/>
    </row>
    <row r="39" spans="1:103" s="52" customFormat="1" ht="16.2">
      <c r="A39" s="55"/>
      <c r="B39" s="458"/>
      <c r="C39" s="459"/>
      <c r="D39" s="459"/>
      <c r="E39" s="459"/>
      <c r="F39" s="459"/>
      <c r="G39" s="459"/>
      <c r="H39" s="459"/>
      <c r="I39" s="345"/>
      <c r="J39" s="92"/>
      <c r="K39" s="86"/>
    </row>
    <row r="40" spans="1:103" s="52" customFormat="1">
      <c r="A40" s="55"/>
      <c r="B40" s="341" t="s">
        <v>413</v>
      </c>
      <c r="C40" s="84"/>
      <c r="D40" s="94" t="s">
        <v>414</v>
      </c>
      <c r="E40" s="92" t="s">
        <v>6</v>
      </c>
      <c r="F40" s="101" t="s">
        <v>88</v>
      </c>
      <c r="G40" s="83"/>
      <c r="H40" s="95"/>
      <c r="I40" s="346"/>
      <c r="J40" s="86"/>
      <c r="K40" s="84"/>
      <c r="CX40" s="58"/>
      <c r="CY40" s="58"/>
    </row>
    <row r="41" spans="1:103" s="52" customFormat="1" ht="13.2" thickBot="1">
      <c r="A41" s="55"/>
      <c r="B41" s="341"/>
      <c r="C41" s="93"/>
      <c r="D41" s="83"/>
      <c r="E41" s="83"/>
      <c r="F41" s="83"/>
      <c r="G41" s="83"/>
      <c r="H41" s="83"/>
      <c r="I41" s="347"/>
      <c r="J41" s="92"/>
      <c r="K41" s="86"/>
    </row>
    <row r="42" spans="1:103" s="52" customFormat="1" ht="16.2" thickBot="1">
      <c r="A42" s="55"/>
      <c r="B42" s="341" t="s">
        <v>319</v>
      </c>
      <c r="C42" s="416" t="s">
        <v>507</v>
      </c>
      <c r="D42" s="417" t="s">
        <v>502</v>
      </c>
      <c r="E42" s="422" t="s">
        <v>6</v>
      </c>
      <c r="F42" s="423" t="s">
        <v>321</v>
      </c>
      <c r="G42" s="344"/>
      <c r="H42" s="424"/>
      <c r="I42" s="346"/>
      <c r="J42" s="86"/>
      <c r="K42" s="86"/>
      <c r="CX42" s="58"/>
      <c r="CY42" s="58"/>
    </row>
    <row r="43" spans="1:103" s="52" customFormat="1" ht="3" customHeight="1" thickTop="1">
      <c r="A43" s="55"/>
      <c r="B43" s="341"/>
      <c r="C43" s="418"/>
      <c r="D43" s="84"/>
      <c r="E43" s="92"/>
      <c r="F43" s="101"/>
      <c r="G43" s="83"/>
      <c r="H43" s="425"/>
      <c r="I43" s="346"/>
      <c r="J43" s="86"/>
      <c r="K43" s="86"/>
      <c r="CX43" s="58"/>
      <c r="CY43" s="58"/>
    </row>
    <row r="44" spans="1:103" s="52" customFormat="1" ht="37.799999999999997">
      <c r="A44" s="55"/>
      <c r="B44" s="341"/>
      <c r="C44" s="419"/>
      <c r="D44" s="100" t="s">
        <v>503</v>
      </c>
      <c r="E44" s="101" t="s">
        <v>6</v>
      </c>
      <c r="F44" s="101" t="s">
        <v>412</v>
      </c>
      <c r="G44" s="101"/>
      <c r="H44" s="426"/>
      <c r="I44" s="346"/>
      <c r="J44" s="86"/>
      <c r="K44" s="86"/>
      <c r="CX44" s="58"/>
      <c r="CY44" s="58"/>
    </row>
    <row r="45" spans="1:103" s="52" customFormat="1" ht="3" customHeight="1">
      <c r="A45" s="55"/>
      <c r="B45" s="341"/>
      <c r="C45" s="419"/>
      <c r="D45" s="164"/>
      <c r="E45" s="92"/>
      <c r="F45" s="101"/>
      <c r="G45" s="101"/>
      <c r="H45" s="425"/>
      <c r="I45" s="346"/>
      <c r="J45" s="86"/>
      <c r="K45" s="86"/>
      <c r="CX45" s="58"/>
      <c r="CY45" s="58"/>
    </row>
    <row r="46" spans="1:103" s="52" customFormat="1" ht="14.4" thickBot="1">
      <c r="A46" s="55"/>
      <c r="B46" s="341"/>
      <c r="C46" s="420" t="s">
        <v>504</v>
      </c>
      <c r="D46" s="352" t="s">
        <v>505</v>
      </c>
      <c r="E46" s="427" t="s">
        <v>8</v>
      </c>
      <c r="F46" s="354" t="s">
        <v>178</v>
      </c>
      <c r="G46" s="354"/>
      <c r="H46" s="428" t="str">
        <f>IF(AND(F42='Pick-lists &amp; Defaults'!B6,ISNUMBER(as_content),ISNUMBER(density),ISNUMBER(Purity)),as_content*density*Purity/10,IF(AND(F42='Pick-lists &amp; Defaults'!B7,ISNUMBER(as_content),ISNUMBER(Purity)),as_content*Purity/100,"??"))</f>
        <v>??</v>
      </c>
      <c r="I46" s="346"/>
      <c r="J46" s="86"/>
      <c r="K46" s="86"/>
      <c r="CX46" s="58"/>
      <c r="CY46" s="58"/>
    </row>
    <row r="47" spans="1:103" s="52" customFormat="1">
      <c r="A47" s="55"/>
      <c r="B47" s="349"/>
      <c r="C47" s="84"/>
      <c r="D47" s="84"/>
      <c r="E47" s="92"/>
      <c r="F47" s="101"/>
      <c r="G47" s="92"/>
      <c r="H47" s="92"/>
      <c r="I47" s="347"/>
      <c r="J47" s="86"/>
      <c r="K47" s="90"/>
      <c r="CX47" s="58"/>
      <c r="CY47" s="58"/>
    </row>
    <row r="48" spans="1:103" ht="25.2">
      <c r="A48" s="55"/>
      <c r="B48" s="350" t="s">
        <v>315</v>
      </c>
      <c r="C48" s="94" t="s">
        <v>316</v>
      </c>
      <c r="D48" s="99" t="s">
        <v>410</v>
      </c>
      <c r="E48" s="101" t="s">
        <v>6</v>
      </c>
      <c r="F48" s="101" t="s">
        <v>5</v>
      </c>
      <c r="G48" s="98"/>
      <c r="H48" s="95"/>
      <c r="I48" s="346"/>
      <c r="J48" s="86"/>
      <c r="K48" s="90"/>
    </row>
    <row r="49" spans="1:102">
      <c r="A49" s="55"/>
      <c r="B49" s="350"/>
      <c r="C49" s="94"/>
      <c r="D49" s="106"/>
      <c r="E49" s="101"/>
      <c r="F49" s="101"/>
      <c r="G49" s="101"/>
      <c r="H49" s="98"/>
      <c r="I49" s="346"/>
      <c r="J49" s="86"/>
      <c r="K49" s="90"/>
    </row>
    <row r="50" spans="1:102" ht="37.799999999999997">
      <c r="A50" s="55"/>
      <c r="B50" s="350" t="s">
        <v>312</v>
      </c>
      <c r="C50" s="94" t="s">
        <v>313</v>
      </c>
      <c r="D50" s="305" t="s">
        <v>519</v>
      </c>
      <c r="E50" s="101" t="s">
        <v>13</v>
      </c>
      <c r="F50" s="101" t="s">
        <v>314</v>
      </c>
      <c r="G50" s="101"/>
      <c r="H50" s="98">
        <v>675</v>
      </c>
      <c r="I50" s="346"/>
      <c r="J50" s="86"/>
      <c r="K50" s="90"/>
    </row>
    <row r="51" spans="1:102" ht="13.2" thickBot="1">
      <c r="A51" s="55"/>
      <c r="B51" s="351"/>
      <c r="C51" s="352"/>
      <c r="D51" s="434"/>
      <c r="E51" s="354"/>
      <c r="F51" s="354"/>
      <c r="G51" s="354"/>
      <c r="H51" s="355"/>
      <c r="I51" s="356"/>
      <c r="J51" s="86"/>
      <c r="K51" s="90"/>
    </row>
    <row r="52" spans="1:102">
      <c r="A52" s="55"/>
      <c r="B52" s="99"/>
      <c r="C52" s="94"/>
      <c r="D52" s="85"/>
      <c r="E52" s="101"/>
      <c r="F52" s="101"/>
      <c r="G52" s="101"/>
      <c r="H52" s="98"/>
      <c r="I52" s="161"/>
      <c r="J52" s="86"/>
      <c r="K52" s="90"/>
    </row>
    <row r="53" spans="1:102" s="53" customFormat="1">
      <c r="A53" s="55"/>
      <c r="B53" s="84" t="s">
        <v>334</v>
      </c>
      <c r="C53" s="109"/>
      <c r="D53" s="86"/>
      <c r="E53" s="312"/>
      <c r="F53" s="101"/>
      <c r="G53" s="101"/>
      <c r="H53" s="98"/>
      <c r="I53" s="161"/>
      <c r="J53" s="86"/>
      <c r="K53" s="90"/>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8"/>
      <c r="CX53" s="58"/>
    </row>
    <row r="54" spans="1:102" s="53" customFormat="1" ht="15">
      <c r="A54" s="55"/>
      <c r="B54" s="299" t="s">
        <v>310</v>
      </c>
      <c r="C54" s="298" t="s">
        <v>292</v>
      </c>
      <c r="D54" s="94" t="s">
        <v>338</v>
      </c>
      <c r="E54" s="227" t="s">
        <v>13</v>
      </c>
      <c r="F54" s="101" t="s">
        <v>5</v>
      </c>
      <c r="G54" s="227"/>
      <c r="H54" s="98">
        <v>0.1</v>
      </c>
      <c r="I54" s="161"/>
      <c r="J54" s="86"/>
      <c r="K54" s="90"/>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8"/>
      <c r="CX54" s="58"/>
    </row>
    <row r="55" spans="1:102">
      <c r="A55" s="55"/>
      <c r="B55" s="84" t="s">
        <v>328</v>
      </c>
      <c r="C55" s="109"/>
      <c r="D55" s="86"/>
      <c r="E55" s="312"/>
      <c r="F55" s="101"/>
      <c r="G55" s="101"/>
      <c r="H55" s="98"/>
      <c r="I55" s="161"/>
      <c r="J55" s="86"/>
      <c r="K55" s="90"/>
    </row>
    <row r="56" spans="1:102" ht="15">
      <c r="A56" s="55"/>
      <c r="B56" s="296" t="s">
        <v>326</v>
      </c>
      <c r="C56" s="297" t="s">
        <v>135</v>
      </c>
      <c r="D56" s="93" t="s">
        <v>329</v>
      </c>
      <c r="E56" s="312" t="s">
        <v>13</v>
      </c>
      <c r="F56" s="101" t="s">
        <v>5</v>
      </c>
      <c r="G56" s="101"/>
      <c r="H56" s="141">
        <f>1-Fair</f>
        <v>0.9</v>
      </c>
      <c r="I56" s="161"/>
      <c r="J56" s="86"/>
      <c r="K56" s="90"/>
    </row>
    <row r="57" spans="1:102" ht="15">
      <c r="A57" s="55"/>
      <c r="B57" s="296" t="s">
        <v>327</v>
      </c>
      <c r="C57" s="295" t="s">
        <v>136</v>
      </c>
      <c r="D57" s="93" t="s">
        <v>329</v>
      </c>
      <c r="E57" s="312" t="s">
        <v>13</v>
      </c>
      <c r="F57" s="101" t="s">
        <v>5</v>
      </c>
      <c r="G57" s="101"/>
      <c r="H57" s="141">
        <f>1-Fair</f>
        <v>0.9</v>
      </c>
      <c r="I57" s="161"/>
      <c r="J57" s="86"/>
      <c r="K57" s="90"/>
    </row>
    <row r="58" spans="1:102">
      <c r="A58" s="55"/>
      <c r="B58" s="84"/>
      <c r="C58" s="84"/>
      <c r="D58" s="94"/>
      <c r="E58" s="290"/>
      <c r="F58" s="101"/>
      <c r="G58" s="101"/>
      <c r="H58" s="98"/>
      <c r="I58" s="161"/>
      <c r="J58" s="86"/>
      <c r="K58" s="90"/>
    </row>
    <row r="59" spans="1:102" ht="25.2">
      <c r="A59" s="55"/>
      <c r="B59" s="99" t="s">
        <v>337</v>
      </c>
      <c r="C59" s="228" t="s">
        <v>342</v>
      </c>
      <c r="D59" s="94" t="s">
        <v>338</v>
      </c>
      <c r="E59" s="101" t="s">
        <v>13</v>
      </c>
      <c r="F59" s="101" t="s">
        <v>90</v>
      </c>
      <c r="G59" s="101"/>
      <c r="H59" s="98">
        <v>2</v>
      </c>
      <c r="I59" s="161"/>
      <c r="J59" s="86"/>
      <c r="K59" s="90"/>
    </row>
    <row r="60" spans="1:102">
      <c r="A60" s="55"/>
      <c r="B60" s="229"/>
      <c r="C60" s="233"/>
      <c r="D60" s="228"/>
      <c r="E60" s="101"/>
      <c r="F60" s="101"/>
      <c r="G60" s="101"/>
      <c r="H60" s="98"/>
      <c r="I60" s="161"/>
      <c r="J60" s="86"/>
      <c r="K60" s="90"/>
    </row>
    <row r="61" spans="1:102" ht="15">
      <c r="A61" s="55"/>
      <c r="B61" s="279" t="s">
        <v>339</v>
      </c>
      <c r="C61" s="257" t="s">
        <v>262</v>
      </c>
      <c r="D61" s="94" t="s">
        <v>338</v>
      </c>
      <c r="E61" s="312" t="s">
        <v>13</v>
      </c>
      <c r="F61" s="101" t="s">
        <v>5</v>
      </c>
      <c r="G61" s="101"/>
      <c r="H61" s="98">
        <v>52</v>
      </c>
      <c r="I61" s="161"/>
      <c r="J61" s="86"/>
      <c r="K61" s="90"/>
    </row>
    <row r="62" spans="1:102" ht="3" customHeight="1">
      <c r="A62" s="55"/>
      <c r="B62" s="99"/>
      <c r="C62" s="94"/>
      <c r="D62" s="85"/>
      <c r="E62" s="101"/>
      <c r="F62" s="101"/>
      <c r="G62" s="101"/>
      <c r="H62" s="98"/>
      <c r="I62" s="161"/>
      <c r="J62" s="86"/>
      <c r="K62" s="90"/>
    </row>
    <row r="63" spans="1:102">
      <c r="A63" s="55"/>
      <c r="B63" s="99" t="s">
        <v>340</v>
      </c>
      <c r="C63" s="94" t="s">
        <v>70</v>
      </c>
      <c r="D63" s="94" t="s">
        <v>338</v>
      </c>
      <c r="E63" s="312" t="s">
        <v>13</v>
      </c>
      <c r="F63" s="101" t="s">
        <v>10</v>
      </c>
      <c r="G63" s="101"/>
      <c r="H63" s="98">
        <v>7</v>
      </c>
      <c r="I63" s="161"/>
      <c r="J63" s="86"/>
      <c r="K63" s="90"/>
    </row>
    <row r="64" spans="1:102">
      <c r="A64" s="55"/>
      <c r="B64" s="99"/>
      <c r="C64" s="94"/>
      <c r="D64" s="85"/>
      <c r="E64" s="101"/>
      <c r="F64" s="101"/>
      <c r="G64" s="101"/>
      <c r="H64" s="98"/>
      <c r="I64" s="161"/>
      <c r="J64" s="86"/>
      <c r="K64" s="90"/>
    </row>
    <row r="65" spans="1:103" s="54" customFormat="1">
      <c r="A65" s="55"/>
      <c r="B65" s="93" t="s">
        <v>405</v>
      </c>
      <c r="C65" s="84" t="s">
        <v>42</v>
      </c>
      <c r="D65" s="94" t="s">
        <v>338</v>
      </c>
      <c r="E65" s="92" t="s">
        <v>13</v>
      </c>
      <c r="F65" s="101" t="s">
        <v>5</v>
      </c>
      <c r="G65" s="92"/>
      <c r="H65" s="92">
        <v>4</v>
      </c>
      <c r="I65" s="85"/>
      <c r="J65" s="85"/>
      <c r="K65" s="85"/>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8"/>
      <c r="CY65" s="58"/>
    </row>
    <row r="66" spans="1:103" s="54" customFormat="1" ht="3" customHeight="1">
      <c r="A66" s="55"/>
      <c r="B66" s="93"/>
      <c r="C66" s="84"/>
      <c r="D66" s="94"/>
      <c r="E66" s="92"/>
      <c r="F66" s="101"/>
      <c r="G66" s="92"/>
      <c r="H66" s="92"/>
      <c r="I66" s="85"/>
      <c r="J66" s="85"/>
      <c r="K66" s="85"/>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8"/>
      <c r="CY66" s="58"/>
    </row>
    <row r="67" spans="1:103" s="54" customFormat="1">
      <c r="A67" s="55"/>
      <c r="B67" s="93" t="s">
        <v>406</v>
      </c>
      <c r="C67" s="84" t="s">
        <v>43</v>
      </c>
      <c r="D67" s="94" t="s">
        <v>338</v>
      </c>
      <c r="E67" s="92" t="s">
        <v>13</v>
      </c>
      <c r="F67" s="101" t="s">
        <v>5</v>
      </c>
      <c r="G67" s="92"/>
      <c r="H67" s="92">
        <v>1</v>
      </c>
      <c r="I67" s="85"/>
      <c r="J67" s="85"/>
      <c r="K67" s="85"/>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8"/>
      <c r="CY67" s="58"/>
    </row>
    <row r="68" spans="1:103" s="54" customFormat="1" ht="3" customHeight="1">
      <c r="A68" s="55"/>
      <c r="B68" s="93"/>
      <c r="C68" s="84"/>
      <c r="D68" s="94"/>
      <c r="E68" s="92"/>
      <c r="F68" s="101"/>
      <c r="G68" s="92"/>
      <c r="H68" s="92"/>
      <c r="I68" s="85"/>
      <c r="J68" s="85"/>
      <c r="K68" s="85"/>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8"/>
      <c r="CY68" s="58"/>
    </row>
    <row r="69" spans="1:103" s="54" customFormat="1">
      <c r="A69" s="55"/>
      <c r="B69" s="99" t="s">
        <v>184</v>
      </c>
      <c r="C69" s="94" t="s">
        <v>110</v>
      </c>
      <c r="D69" s="94" t="s">
        <v>522</v>
      </c>
      <c r="E69" s="101" t="s">
        <v>69</v>
      </c>
      <c r="F69" s="101" t="s">
        <v>5</v>
      </c>
      <c r="G69" s="101"/>
      <c r="H69" s="141">
        <f>10*Nlapp_arab</f>
        <v>10</v>
      </c>
      <c r="I69" s="85"/>
      <c r="J69" s="85"/>
      <c r="K69" s="85"/>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8"/>
      <c r="CY69" s="58"/>
    </row>
    <row r="70" spans="1:103" s="54" customFormat="1" ht="3" customHeight="1">
      <c r="A70" s="55"/>
      <c r="B70" s="100"/>
      <c r="C70" s="94"/>
      <c r="D70" s="94"/>
      <c r="E70" s="105"/>
      <c r="F70" s="101"/>
      <c r="G70" s="101"/>
      <c r="H70" s="102"/>
      <c r="I70" s="85"/>
      <c r="J70" s="85"/>
      <c r="K70" s="85"/>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8"/>
      <c r="CY70" s="58"/>
    </row>
    <row r="71" spans="1:103" s="54" customFormat="1">
      <c r="A71" s="55"/>
      <c r="B71" s="99" t="s">
        <v>182</v>
      </c>
      <c r="C71" s="94" t="s">
        <v>44</v>
      </c>
      <c r="D71" s="94"/>
      <c r="E71" s="101" t="s">
        <v>13</v>
      </c>
      <c r="F71" s="101" t="s">
        <v>10</v>
      </c>
      <c r="G71" s="101"/>
      <c r="H71" s="145">
        <v>53</v>
      </c>
      <c r="I71" s="103"/>
      <c r="J71" s="85"/>
      <c r="K71" s="85"/>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8"/>
      <c r="CY71" s="58"/>
    </row>
    <row r="72" spans="1:103" s="54" customFormat="1" ht="3" customHeight="1">
      <c r="A72" s="55"/>
      <c r="B72" s="99"/>
      <c r="C72" s="94"/>
      <c r="D72" s="94"/>
      <c r="E72" s="101"/>
      <c r="F72" s="101"/>
      <c r="G72" s="101"/>
      <c r="H72" s="145"/>
      <c r="I72" s="103"/>
      <c r="J72" s="85"/>
      <c r="K72" s="85"/>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8"/>
      <c r="CY72" s="58"/>
    </row>
    <row r="73" spans="1:103" s="54" customFormat="1">
      <c r="A73" s="55"/>
      <c r="B73" s="99" t="s">
        <v>183</v>
      </c>
      <c r="C73" s="94" t="s">
        <v>153</v>
      </c>
      <c r="D73" s="94" t="s">
        <v>522</v>
      </c>
      <c r="E73" s="101" t="s">
        <v>13</v>
      </c>
      <c r="F73" s="101" t="s">
        <v>10</v>
      </c>
      <c r="G73" s="101"/>
      <c r="H73" s="145">
        <v>365</v>
      </c>
      <c r="I73" s="103"/>
      <c r="J73" s="85"/>
      <c r="K73" s="85"/>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8"/>
      <c r="CY73" s="58"/>
    </row>
    <row r="74" spans="1:103" s="54" customFormat="1" ht="3" customHeight="1">
      <c r="A74" s="55"/>
      <c r="B74" s="99"/>
      <c r="C74" s="94"/>
      <c r="D74" s="94"/>
      <c r="E74" s="101"/>
      <c r="F74" s="101"/>
      <c r="G74" s="101"/>
      <c r="H74" s="101"/>
      <c r="I74" s="85"/>
      <c r="J74" s="85"/>
      <c r="K74" s="85"/>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8"/>
      <c r="CY74" s="58"/>
    </row>
    <row r="75" spans="1:103" s="54" customFormat="1" ht="17.25" customHeight="1">
      <c r="A75" s="55"/>
      <c r="B75" s="99" t="s">
        <v>76</v>
      </c>
      <c r="C75" s="94" t="s">
        <v>168</v>
      </c>
      <c r="D75" s="94" t="s">
        <v>395</v>
      </c>
      <c r="E75" s="92" t="s">
        <v>13</v>
      </c>
      <c r="F75" s="101" t="s">
        <v>116</v>
      </c>
      <c r="G75" s="92"/>
      <c r="H75" s="92">
        <v>1700</v>
      </c>
      <c r="I75" s="85"/>
      <c r="J75" s="85"/>
      <c r="K75" s="85"/>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8"/>
      <c r="CY75" s="58"/>
    </row>
    <row r="76" spans="1:103" s="54" customFormat="1" ht="3" customHeight="1">
      <c r="A76" s="55"/>
      <c r="B76" s="99"/>
      <c r="C76" s="94"/>
      <c r="D76" s="84"/>
      <c r="E76" s="92"/>
      <c r="F76" s="101"/>
      <c r="G76" s="92"/>
      <c r="H76" s="92"/>
      <c r="I76" s="85"/>
      <c r="J76" s="85"/>
      <c r="K76" s="85"/>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8"/>
      <c r="CY76" s="58"/>
    </row>
    <row r="77" spans="1:103" s="54" customFormat="1" ht="15">
      <c r="A77" s="55"/>
      <c r="B77" s="99" t="s">
        <v>165</v>
      </c>
      <c r="C77" s="94" t="s">
        <v>169</v>
      </c>
      <c r="D77" s="94" t="s">
        <v>395</v>
      </c>
      <c r="E77" s="92" t="s">
        <v>13</v>
      </c>
      <c r="F77" s="101" t="s">
        <v>116</v>
      </c>
      <c r="G77" s="92"/>
      <c r="H77" s="92">
        <v>1150</v>
      </c>
      <c r="I77" s="85"/>
      <c r="J77" s="85"/>
      <c r="K77" s="85"/>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8"/>
      <c r="CY77" s="58"/>
    </row>
    <row r="78" spans="1:103" s="54" customFormat="1" ht="3" customHeight="1">
      <c r="A78" s="55"/>
      <c r="B78" s="99"/>
      <c r="C78" s="94"/>
      <c r="D78" s="84"/>
      <c r="E78" s="92"/>
      <c r="F78" s="101"/>
      <c r="G78" s="92"/>
      <c r="H78" s="92"/>
      <c r="I78" s="85"/>
      <c r="J78" s="85"/>
      <c r="K78" s="85"/>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8"/>
      <c r="CY78" s="58"/>
    </row>
    <row r="79" spans="1:103" s="54" customFormat="1" ht="15">
      <c r="A79" s="55"/>
      <c r="B79" s="99" t="s">
        <v>80</v>
      </c>
      <c r="C79" s="106" t="s">
        <v>170</v>
      </c>
      <c r="D79" s="86" t="s">
        <v>475</v>
      </c>
      <c r="E79" s="92" t="s">
        <v>6</v>
      </c>
      <c r="F79" s="101" t="s">
        <v>172</v>
      </c>
      <c r="G79" s="92"/>
      <c r="H79" s="95"/>
      <c r="I79" s="85"/>
      <c r="J79" s="85"/>
      <c r="K79" s="85"/>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8"/>
      <c r="CY79" s="58"/>
    </row>
    <row r="80" spans="1:103" s="52" customFormat="1" ht="3" customHeight="1">
      <c r="A80" s="55"/>
      <c r="B80" s="99"/>
      <c r="C80" s="106"/>
      <c r="D80" s="86"/>
      <c r="E80" s="83"/>
      <c r="F80" s="101"/>
      <c r="G80" s="83"/>
      <c r="H80" s="83"/>
      <c r="I80" s="86"/>
      <c r="J80" s="86"/>
      <c r="K80" s="86"/>
      <c r="CX80" s="58"/>
      <c r="CY80" s="58"/>
    </row>
    <row r="81" spans="1:103" s="52" customFormat="1" ht="13.8">
      <c r="A81" s="55"/>
      <c r="B81" s="99" t="s">
        <v>154</v>
      </c>
      <c r="C81" s="106" t="s">
        <v>155</v>
      </c>
      <c r="D81" s="86" t="s">
        <v>475</v>
      </c>
      <c r="E81" s="101" t="s">
        <v>6</v>
      </c>
      <c r="F81" s="101" t="s">
        <v>407</v>
      </c>
      <c r="G81" s="101"/>
      <c r="H81" s="95"/>
      <c r="I81" s="86"/>
      <c r="J81" s="86"/>
      <c r="K81" s="86"/>
      <c r="CX81" s="58"/>
      <c r="CY81" s="58"/>
    </row>
    <row r="82" spans="1:103" s="52" customFormat="1" ht="3" customHeight="1">
      <c r="A82" s="55"/>
      <c r="B82" s="99"/>
      <c r="C82" s="106"/>
      <c r="D82" s="161"/>
      <c r="E82" s="102"/>
      <c r="F82" s="101"/>
      <c r="G82" s="102"/>
      <c r="H82" s="83"/>
      <c r="I82" s="86"/>
      <c r="J82" s="86"/>
      <c r="K82" s="86"/>
      <c r="CX82" s="58"/>
      <c r="CY82" s="58"/>
    </row>
    <row r="83" spans="1:103" s="54" customFormat="1" ht="13.8">
      <c r="A83" s="77"/>
      <c r="B83" s="99" t="s">
        <v>164</v>
      </c>
      <c r="C83" s="106" t="s">
        <v>163</v>
      </c>
      <c r="D83" s="86" t="s">
        <v>475</v>
      </c>
      <c r="E83" s="101" t="s">
        <v>6</v>
      </c>
      <c r="F83" s="101" t="s">
        <v>172</v>
      </c>
      <c r="G83" s="101"/>
      <c r="H83" s="95"/>
      <c r="I83" s="85"/>
      <c r="J83" s="85"/>
      <c r="K83" s="85"/>
      <c r="CX83" s="176"/>
      <c r="CY83" s="176"/>
    </row>
    <row r="84" spans="1:103" s="52" customFormat="1" ht="3" customHeight="1">
      <c r="A84" s="55"/>
      <c r="B84" s="99"/>
      <c r="C84" s="106"/>
      <c r="D84" s="83"/>
      <c r="E84" s="83"/>
      <c r="F84" s="101"/>
      <c r="G84" s="83"/>
      <c r="H84" s="83"/>
      <c r="I84" s="86"/>
      <c r="J84" s="86"/>
      <c r="K84" s="86"/>
      <c r="CX84" s="58"/>
      <c r="CY84" s="58"/>
    </row>
    <row r="85" spans="1:103" s="52" customFormat="1" ht="13.8">
      <c r="A85" s="55"/>
      <c r="B85" s="99" t="s">
        <v>156</v>
      </c>
      <c r="C85" s="106" t="s">
        <v>157</v>
      </c>
      <c r="D85" s="106"/>
      <c r="E85" s="101" t="s">
        <v>13</v>
      </c>
      <c r="F85" s="101" t="s">
        <v>408</v>
      </c>
      <c r="G85" s="101"/>
      <c r="H85" s="92">
        <v>15</v>
      </c>
      <c r="I85" s="86"/>
      <c r="J85" s="86"/>
      <c r="K85" s="86"/>
      <c r="CX85" s="58"/>
      <c r="CY85" s="58"/>
    </row>
    <row r="86" spans="1:103" s="52" customFormat="1" ht="3" customHeight="1">
      <c r="A86" s="55"/>
      <c r="B86" s="99"/>
      <c r="C86" s="106"/>
      <c r="D86" s="83"/>
      <c r="E86" s="83"/>
      <c r="F86" s="101"/>
      <c r="G86" s="83"/>
      <c r="H86" s="83"/>
      <c r="I86" s="86"/>
      <c r="J86" s="86"/>
      <c r="K86" s="86"/>
      <c r="CX86" s="58"/>
      <c r="CY86" s="58"/>
    </row>
    <row r="87" spans="1:103" s="52" customFormat="1" ht="15">
      <c r="A87" s="55"/>
      <c r="B87" s="99" t="s">
        <v>87</v>
      </c>
      <c r="C87" s="93" t="s">
        <v>86</v>
      </c>
      <c r="D87" s="83" t="s">
        <v>523</v>
      </c>
      <c r="E87" s="92" t="s">
        <v>13</v>
      </c>
      <c r="F87" s="101" t="s">
        <v>5</v>
      </c>
      <c r="G87" s="101"/>
      <c r="H87" s="92">
        <v>10</v>
      </c>
      <c r="I87" s="86"/>
      <c r="J87" s="86"/>
      <c r="K87" s="86"/>
      <c r="CX87" s="58"/>
      <c r="CY87" s="58"/>
    </row>
    <row r="88" spans="1:103" s="52" customFormat="1">
      <c r="A88" s="55"/>
      <c r="B88" s="99"/>
      <c r="C88" s="93"/>
      <c r="D88" s="83"/>
      <c r="E88" s="92"/>
      <c r="F88" s="101"/>
      <c r="G88" s="101"/>
      <c r="H88" s="86"/>
      <c r="I88" s="86"/>
      <c r="J88" s="86"/>
      <c r="K88" s="86"/>
      <c r="CX88" s="58"/>
      <c r="CY88" s="58"/>
    </row>
    <row r="89" spans="1:103" s="52" customFormat="1">
      <c r="A89" s="55"/>
      <c r="B89" s="334" t="s">
        <v>382</v>
      </c>
      <c r="C89" s="93"/>
      <c r="D89" s="83"/>
      <c r="E89" s="92"/>
      <c r="F89" s="101"/>
      <c r="G89" s="101"/>
      <c r="H89" s="86"/>
      <c r="I89" s="86"/>
      <c r="J89" s="86"/>
      <c r="K89" s="86"/>
      <c r="CX89" s="58"/>
      <c r="CY89" s="58"/>
    </row>
    <row r="90" spans="1:103" s="52" customFormat="1" ht="3" customHeight="1">
      <c r="A90" s="55"/>
      <c r="B90" s="334"/>
      <c r="C90" s="93"/>
      <c r="D90" s="83"/>
      <c r="E90" s="92"/>
      <c r="F90" s="101"/>
      <c r="G90" s="101"/>
      <c r="H90" s="86"/>
      <c r="I90" s="86"/>
      <c r="J90" s="86"/>
      <c r="K90" s="86"/>
      <c r="CX90" s="58"/>
      <c r="CY90" s="58"/>
    </row>
    <row r="91" spans="1:103" s="54" customFormat="1" ht="15">
      <c r="A91" s="55"/>
      <c r="B91" s="335" t="s">
        <v>74</v>
      </c>
      <c r="C91" s="94" t="s">
        <v>166</v>
      </c>
      <c r="D91" s="94" t="s">
        <v>335</v>
      </c>
      <c r="E91" s="92" t="s">
        <v>13</v>
      </c>
      <c r="F91" s="101" t="s">
        <v>48</v>
      </c>
      <c r="G91" s="92"/>
      <c r="H91" s="92">
        <v>0.05</v>
      </c>
      <c r="I91" s="85"/>
      <c r="J91" s="85"/>
      <c r="K91" s="85"/>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8"/>
      <c r="CY91" s="58"/>
    </row>
    <row r="92" spans="1:103" s="52" customFormat="1" ht="3" customHeight="1">
      <c r="A92" s="55"/>
      <c r="B92" s="99"/>
      <c r="C92" s="94"/>
      <c r="D92" s="94"/>
      <c r="E92" s="92"/>
      <c r="F92" s="101"/>
      <c r="G92" s="101"/>
      <c r="H92" s="86"/>
      <c r="I92" s="86"/>
      <c r="J92" s="86"/>
      <c r="K92" s="85"/>
      <c r="CX92" s="58"/>
      <c r="CY92" s="58"/>
    </row>
    <row r="93" spans="1:103" s="52" customFormat="1" ht="25.2">
      <c r="A93" s="55"/>
      <c r="B93" s="335" t="s">
        <v>454</v>
      </c>
      <c r="C93" s="333" t="s">
        <v>376</v>
      </c>
      <c r="D93" s="305" t="s">
        <v>476</v>
      </c>
      <c r="E93" s="92" t="s">
        <v>6</v>
      </c>
      <c r="F93" s="101" t="s">
        <v>10</v>
      </c>
      <c r="G93" s="101"/>
      <c r="H93" s="441"/>
      <c r="I93" s="86"/>
      <c r="J93" s="86"/>
      <c r="K93" s="86"/>
      <c r="CX93" s="58"/>
      <c r="CY93" s="58"/>
    </row>
    <row r="94" spans="1:103" s="52" customFormat="1" ht="3" customHeight="1">
      <c r="A94" s="55"/>
      <c r="B94" s="335"/>
      <c r="C94" s="93"/>
      <c r="D94" s="83"/>
      <c r="E94" s="92"/>
      <c r="F94" s="101"/>
      <c r="G94" s="101"/>
      <c r="H94" s="86"/>
      <c r="I94" s="86"/>
      <c r="J94" s="86"/>
      <c r="K94" s="86"/>
      <c r="CX94" s="58"/>
      <c r="CY94" s="58"/>
    </row>
    <row r="95" spans="1:103" s="52" customFormat="1" ht="25.2">
      <c r="A95" s="55"/>
      <c r="B95" s="335" t="s">
        <v>373</v>
      </c>
      <c r="C95" s="99" t="s">
        <v>378</v>
      </c>
      <c r="D95" s="83"/>
      <c r="E95" s="92" t="s">
        <v>6</v>
      </c>
      <c r="F95" s="101" t="s">
        <v>90</v>
      </c>
      <c r="G95" s="101"/>
      <c r="H95" s="441"/>
      <c r="I95" s="86"/>
      <c r="J95" s="86"/>
      <c r="K95" s="86"/>
      <c r="CX95" s="58"/>
      <c r="CY95" s="58"/>
    </row>
    <row r="96" spans="1:103" s="52" customFormat="1" ht="3" customHeight="1">
      <c r="A96" s="55"/>
      <c r="B96" s="335"/>
      <c r="C96" s="93"/>
      <c r="D96" s="83"/>
      <c r="E96" s="92"/>
      <c r="F96" s="101"/>
      <c r="G96" s="101"/>
      <c r="H96" s="86"/>
      <c r="I96" s="86"/>
      <c r="J96" s="86"/>
      <c r="K96" s="86"/>
      <c r="CX96" s="58"/>
      <c r="CY96" s="58"/>
    </row>
    <row r="97" spans="1:103" s="52" customFormat="1" ht="25.2">
      <c r="A97" s="55"/>
      <c r="B97" s="335" t="s">
        <v>383</v>
      </c>
      <c r="C97" s="99" t="s">
        <v>379</v>
      </c>
      <c r="D97" s="83"/>
      <c r="E97" s="92" t="s">
        <v>6</v>
      </c>
      <c r="F97" s="101" t="s">
        <v>90</v>
      </c>
      <c r="G97" s="101"/>
      <c r="H97" s="441"/>
      <c r="I97" s="86"/>
      <c r="J97" s="86"/>
      <c r="K97" s="86"/>
      <c r="CX97" s="58"/>
      <c r="CY97" s="58"/>
    </row>
    <row r="98" spans="1:103" s="52" customFormat="1" ht="3" customHeight="1">
      <c r="A98" s="55"/>
      <c r="B98" s="335"/>
      <c r="C98" s="93"/>
      <c r="D98" s="83"/>
      <c r="E98" s="92"/>
      <c r="F98" s="92"/>
      <c r="G98" s="92"/>
      <c r="H98" s="83"/>
      <c r="I98" s="86"/>
      <c r="J98" s="86"/>
      <c r="K98" s="86"/>
      <c r="CX98" s="58"/>
      <c r="CY98" s="58"/>
    </row>
    <row r="99" spans="1:103" s="52" customFormat="1" ht="25.2">
      <c r="A99" s="55"/>
      <c r="B99" s="335" t="s">
        <v>385</v>
      </c>
      <c r="C99" s="93" t="s">
        <v>388</v>
      </c>
      <c r="D99" s="83" t="s">
        <v>391</v>
      </c>
      <c r="E99" s="92" t="s">
        <v>8</v>
      </c>
      <c r="F99" s="101" t="s">
        <v>90</v>
      </c>
      <c r="G99" s="101"/>
      <c r="H99" s="142" t="str">
        <f>IF(ISNUMBER(DT50bio_soil_gr), IF(DT50bio_soil_gr=0,0,LN(2)/DT50bio_soil_gr),"??")</f>
        <v>??</v>
      </c>
      <c r="I99" s="161"/>
      <c r="J99" s="86"/>
      <c r="K99" s="86"/>
      <c r="CX99" s="58"/>
      <c r="CY99" s="58"/>
    </row>
    <row r="100" spans="1:103" s="52" customFormat="1" ht="3" customHeight="1">
      <c r="A100" s="55"/>
      <c r="B100" s="335"/>
      <c r="C100" s="93"/>
      <c r="D100" s="83"/>
      <c r="E100" s="92"/>
      <c r="F100" s="101"/>
      <c r="G100" s="101"/>
      <c r="H100" s="105"/>
      <c r="I100" s="86"/>
      <c r="J100" s="86"/>
      <c r="K100" s="86"/>
      <c r="CX100" s="58"/>
      <c r="CY100" s="58"/>
    </row>
    <row r="101" spans="1:103" ht="13.8">
      <c r="B101" s="336" t="s">
        <v>386</v>
      </c>
      <c r="C101" s="84" t="s">
        <v>380</v>
      </c>
      <c r="D101" s="83" t="s">
        <v>396</v>
      </c>
      <c r="E101" s="92" t="s">
        <v>8</v>
      </c>
      <c r="F101" s="101" t="s">
        <v>90</v>
      </c>
      <c r="G101" s="101"/>
      <c r="H101" s="142" t="str">
        <f>IF(AND(ISNUMBER(kvolat_gr),ISNUMBER(kleach_gr),ISNUMBER(kdeg_gr)),kvolat_gr+kleach_gr+kdeg_gr,"??")</f>
        <v>??</v>
      </c>
      <c r="I101" s="86"/>
      <c r="J101" s="86"/>
      <c r="K101" s="86"/>
    </row>
    <row r="102" spans="1:103" ht="3" customHeight="1">
      <c r="B102" s="93"/>
      <c r="C102" s="84"/>
      <c r="D102" s="83"/>
      <c r="E102" s="92"/>
      <c r="F102" s="101"/>
      <c r="G102" s="101"/>
      <c r="H102" s="105"/>
      <c r="I102" s="86"/>
      <c r="J102" s="86"/>
      <c r="K102" s="86"/>
    </row>
    <row r="103" spans="1:103" s="54" customFormat="1" ht="15">
      <c r="A103" s="55"/>
      <c r="B103" s="336" t="s">
        <v>72</v>
      </c>
      <c r="C103" s="84" t="s">
        <v>46</v>
      </c>
      <c r="D103" s="94" t="s">
        <v>187</v>
      </c>
      <c r="E103" s="92" t="s">
        <v>13</v>
      </c>
      <c r="F103" s="101" t="s">
        <v>71</v>
      </c>
      <c r="G103" s="101"/>
      <c r="H103" s="101">
        <v>170</v>
      </c>
      <c r="I103" s="85"/>
      <c r="J103" s="85"/>
      <c r="K103" s="85"/>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8"/>
      <c r="CY103" s="58"/>
    </row>
    <row r="104" spans="1:103" s="54" customFormat="1">
      <c r="A104" s="55"/>
      <c r="B104" s="336"/>
      <c r="C104" s="84"/>
      <c r="D104" s="94"/>
      <c r="E104" s="92"/>
      <c r="F104" s="101"/>
      <c r="G104" s="101"/>
      <c r="H104" s="101"/>
      <c r="I104" s="85"/>
      <c r="J104" s="85"/>
      <c r="K104" s="85"/>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8"/>
      <c r="CY104" s="58"/>
    </row>
    <row r="105" spans="1:103" s="54" customFormat="1">
      <c r="A105" s="55"/>
      <c r="B105" s="334" t="s">
        <v>384</v>
      </c>
      <c r="C105" s="93"/>
      <c r="D105" s="83"/>
      <c r="E105" s="92"/>
      <c r="F105" s="101"/>
      <c r="G105" s="101"/>
      <c r="H105" s="86"/>
      <c r="I105" s="85"/>
      <c r="J105" s="85"/>
      <c r="K105" s="85"/>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8"/>
      <c r="CY105" s="58"/>
    </row>
    <row r="106" spans="1:103" s="54" customFormat="1" ht="3" customHeight="1">
      <c r="A106" s="55"/>
      <c r="B106" s="334"/>
      <c r="C106" s="93"/>
      <c r="D106" s="83"/>
      <c r="E106" s="92"/>
      <c r="F106" s="101"/>
      <c r="G106" s="101"/>
      <c r="H106" s="86"/>
      <c r="I106" s="85"/>
      <c r="J106" s="85"/>
      <c r="K106" s="85"/>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8"/>
      <c r="CY106" s="58"/>
    </row>
    <row r="107" spans="1:103" s="54" customFormat="1" ht="15">
      <c r="A107" s="55"/>
      <c r="B107" s="335" t="s">
        <v>75</v>
      </c>
      <c r="C107" s="94" t="s">
        <v>167</v>
      </c>
      <c r="D107" s="94" t="s">
        <v>335</v>
      </c>
      <c r="E107" s="92" t="s">
        <v>13</v>
      </c>
      <c r="F107" s="92" t="s">
        <v>48</v>
      </c>
      <c r="G107" s="92"/>
      <c r="H107" s="104">
        <v>0.2</v>
      </c>
      <c r="I107" s="85"/>
      <c r="J107" s="85"/>
      <c r="K107" s="85"/>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8"/>
      <c r="CY107" s="58"/>
    </row>
    <row r="108" spans="1:103" s="54" customFormat="1" ht="3" customHeight="1">
      <c r="A108" s="55"/>
      <c r="B108" s="99"/>
      <c r="C108" s="94"/>
      <c r="D108" s="94"/>
      <c r="E108" s="92"/>
      <c r="F108" s="101"/>
      <c r="G108" s="101"/>
      <c r="H108" s="86"/>
      <c r="I108" s="85"/>
      <c r="J108" s="85"/>
      <c r="K108" s="85"/>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8"/>
      <c r="CY108" s="58"/>
    </row>
    <row r="109" spans="1:103" s="54" customFormat="1" ht="26.4">
      <c r="A109" s="55"/>
      <c r="B109" s="335" t="s">
        <v>509</v>
      </c>
      <c r="C109" s="333" t="s">
        <v>398</v>
      </c>
      <c r="D109" s="305" t="s">
        <v>477</v>
      </c>
      <c r="E109" s="92" t="s">
        <v>6</v>
      </c>
      <c r="F109" s="101" t="s">
        <v>10</v>
      </c>
      <c r="G109" s="101"/>
      <c r="H109" s="441"/>
      <c r="I109" s="85"/>
      <c r="J109" s="85"/>
      <c r="K109" s="85"/>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8"/>
      <c r="CY109" s="58"/>
    </row>
    <row r="110" spans="1:103" s="54" customFormat="1" ht="3" customHeight="1">
      <c r="A110" s="55"/>
      <c r="B110" s="335"/>
      <c r="C110" s="93"/>
      <c r="D110" s="83"/>
      <c r="E110" s="92"/>
      <c r="F110" s="101"/>
      <c r="G110" s="101"/>
      <c r="H110" s="86"/>
      <c r="I110" s="85"/>
      <c r="J110" s="85"/>
      <c r="K110" s="85"/>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8"/>
      <c r="CY110" s="58"/>
    </row>
    <row r="111" spans="1:103" s="54" customFormat="1" ht="25.2">
      <c r="A111" s="55"/>
      <c r="B111" s="335" t="s">
        <v>381</v>
      </c>
      <c r="C111" s="99" t="s">
        <v>374</v>
      </c>
      <c r="D111" s="83"/>
      <c r="E111" s="92" t="s">
        <v>6</v>
      </c>
      <c r="F111" s="101" t="s">
        <v>90</v>
      </c>
      <c r="G111" s="101"/>
      <c r="H111" s="441"/>
      <c r="I111" s="85"/>
      <c r="J111" s="85"/>
      <c r="K111" s="85"/>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8"/>
      <c r="CY111" s="58"/>
    </row>
    <row r="112" spans="1:103" s="54" customFormat="1" ht="3" customHeight="1">
      <c r="A112" s="55"/>
      <c r="B112" s="335"/>
      <c r="C112" s="93"/>
      <c r="D112" s="83"/>
      <c r="E112" s="92"/>
      <c r="F112" s="101"/>
      <c r="G112" s="101"/>
      <c r="H112" s="86"/>
      <c r="I112" s="85"/>
      <c r="J112" s="85"/>
      <c r="K112" s="85"/>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8"/>
      <c r="CY112" s="58"/>
    </row>
    <row r="113" spans="1:122" s="54" customFormat="1" ht="25.2">
      <c r="A113" s="55"/>
      <c r="B113" s="335" t="s">
        <v>392</v>
      </c>
      <c r="C113" s="99" t="s">
        <v>375</v>
      </c>
      <c r="D113" s="83"/>
      <c r="E113" s="92" t="s">
        <v>6</v>
      </c>
      <c r="F113" s="101" t="s">
        <v>90</v>
      </c>
      <c r="G113" s="101"/>
      <c r="H113" s="441"/>
      <c r="I113" s="85"/>
      <c r="J113" s="85"/>
      <c r="K113" s="85"/>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8"/>
      <c r="CY113" s="58"/>
    </row>
    <row r="114" spans="1:122" s="54" customFormat="1" ht="3" customHeight="1">
      <c r="A114" s="55"/>
      <c r="B114" s="335"/>
      <c r="C114" s="93"/>
      <c r="D114" s="83"/>
      <c r="E114" s="92"/>
      <c r="F114" s="92"/>
      <c r="G114" s="92"/>
      <c r="H114" s="83"/>
      <c r="I114" s="85"/>
      <c r="J114" s="85"/>
      <c r="K114" s="85"/>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8"/>
      <c r="CY114" s="58"/>
    </row>
    <row r="115" spans="1:122" s="54" customFormat="1" ht="25.2">
      <c r="A115" s="55"/>
      <c r="B115" s="335" t="s">
        <v>400</v>
      </c>
      <c r="C115" s="93" t="s">
        <v>389</v>
      </c>
      <c r="D115" s="83" t="s">
        <v>399</v>
      </c>
      <c r="E115" s="92" t="s">
        <v>8</v>
      </c>
      <c r="F115" s="101" t="s">
        <v>90</v>
      </c>
      <c r="G115" s="101"/>
      <c r="H115" s="142" t="str">
        <f>IF(ISNUMBER(DT50bio_soil_ar), IF(DT50bio_soil_ar=0,0,LN(2)/DT50bio_soil_ar),"??")</f>
        <v>??</v>
      </c>
      <c r="I115" s="85"/>
      <c r="J115" s="85"/>
      <c r="K115" s="85"/>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8"/>
      <c r="CY115" s="58"/>
    </row>
    <row r="116" spans="1:122" s="54" customFormat="1" ht="3" customHeight="1">
      <c r="A116" s="55"/>
      <c r="B116" s="335"/>
      <c r="C116" s="93"/>
      <c r="D116" s="83"/>
      <c r="E116" s="92"/>
      <c r="F116" s="101"/>
      <c r="G116" s="101"/>
      <c r="H116" s="105"/>
      <c r="I116" s="85"/>
      <c r="J116" s="85"/>
      <c r="K116" s="85"/>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8"/>
      <c r="CY116" s="58"/>
    </row>
    <row r="117" spans="1:122" s="54" customFormat="1" ht="13.8">
      <c r="A117" s="55"/>
      <c r="B117" s="336" t="s">
        <v>394</v>
      </c>
      <c r="C117" s="84" t="s">
        <v>387</v>
      </c>
      <c r="D117" s="83" t="s">
        <v>397</v>
      </c>
      <c r="E117" s="92" t="s">
        <v>8</v>
      </c>
      <c r="F117" s="101" t="s">
        <v>90</v>
      </c>
      <c r="G117" s="101"/>
      <c r="H117" s="142" t="str">
        <f>IF(AND(ISNUMBER(kvolat_ar),ISNUMBER(kleach_ar),ISNUMBER(kdeg_ar)),kvolat_ar+kleach_ar+kdeg_ar,"??")</f>
        <v>??</v>
      </c>
      <c r="I117" s="85"/>
      <c r="J117" s="85"/>
      <c r="K117" s="85"/>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8"/>
      <c r="CY117" s="58"/>
    </row>
    <row r="118" spans="1:122" s="54" customFormat="1" ht="3" customHeight="1">
      <c r="A118" s="55"/>
      <c r="B118" s="93"/>
      <c r="C118" s="84"/>
      <c r="D118" s="84"/>
      <c r="E118" s="92"/>
      <c r="F118" s="101"/>
      <c r="G118" s="101"/>
      <c r="H118" s="105"/>
      <c r="I118" s="85"/>
      <c r="J118" s="85"/>
      <c r="K118" s="85"/>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8"/>
      <c r="CY118" s="58"/>
    </row>
    <row r="119" spans="1:122" s="54" customFormat="1" ht="15" customHeight="1">
      <c r="A119" s="55"/>
      <c r="B119" s="336" t="s">
        <v>73</v>
      </c>
      <c r="C119" s="84" t="s">
        <v>47</v>
      </c>
      <c r="D119" s="94" t="s">
        <v>187</v>
      </c>
      <c r="E119" s="92" t="s">
        <v>13</v>
      </c>
      <c r="F119" s="101" t="s">
        <v>71</v>
      </c>
      <c r="G119" s="101"/>
      <c r="H119" s="101">
        <v>170</v>
      </c>
      <c r="I119" s="85"/>
      <c r="J119" s="85"/>
      <c r="K119" s="85"/>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8"/>
      <c r="CY119" s="58"/>
    </row>
    <row r="120" spans="1:122" s="54" customFormat="1" ht="15" customHeight="1">
      <c r="A120" s="55"/>
      <c r="B120" s="336"/>
      <c r="C120" s="84"/>
      <c r="D120" s="94"/>
      <c r="E120" s="92"/>
      <c r="F120" s="101"/>
      <c r="G120" s="101"/>
      <c r="H120" s="101"/>
      <c r="I120" s="85"/>
      <c r="J120" s="85"/>
      <c r="K120" s="85"/>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8"/>
      <c r="CY120" s="58"/>
    </row>
    <row r="121" spans="1:122" s="54" customFormat="1" ht="33.75" customHeight="1">
      <c r="A121" s="55"/>
      <c r="B121" s="478" t="s">
        <v>264</v>
      </c>
      <c r="C121" s="478" t="s">
        <v>265</v>
      </c>
      <c r="D121" s="478"/>
      <c r="E121" s="267" t="s">
        <v>13</v>
      </c>
      <c r="F121" s="267" t="s">
        <v>266</v>
      </c>
      <c r="G121" s="267"/>
      <c r="H121" s="280">
        <v>2.7799999999999998E-4</v>
      </c>
      <c r="I121" s="85"/>
      <c r="J121" s="280"/>
      <c r="K121" s="85"/>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row>
    <row r="122" spans="1:122" s="54" customFormat="1">
      <c r="A122" s="55"/>
      <c r="B122" s="478"/>
      <c r="C122" s="478"/>
      <c r="D122" s="478"/>
      <c r="E122" s="267"/>
      <c r="F122" s="267"/>
      <c r="G122" s="267"/>
      <c r="H122" s="280"/>
      <c r="I122" s="85"/>
      <c r="J122" s="267"/>
      <c r="K122" s="85"/>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row>
    <row r="123" spans="1:122" s="54" customFormat="1" ht="13.8">
      <c r="A123" s="55"/>
      <c r="B123" s="478" t="s">
        <v>210</v>
      </c>
      <c r="C123" s="478" t="s">
        <v>210</v>
      </c>
      <c r="D123" s="478"/>
      <c r="E123" s="267" t="s">
        <v>13</v>
      </c>
      <c r="F123" s="267" t="s">
        <v>267</v>
      </c>
      <c r="G123" s="267"/>
      <c r="H123" s="267">
        <v>1</v>
      </c>
      <c r="I123" s="85"/>
      <c r="J123" s="161"/>
      <c r="K123" s="85"/>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row>
    <row r="124" spans="1:122" s="54" customFormat="1">
      <c r="A124" s="55"/>
      <c r="B124" s="478"/>
      <c r="C124" s="478"/>
      <c r="D124" s="478"/>
      <c r="E124" s="267"/>
      <c r="F124" s="267"/>
      <c r="G124" s="267"/>
      <c r="H124" s="267"/>
      <c r="I124" s="85"/>
      <c r="J124" s="161"/>
      <c r="K124" s="85"/>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row>
    <row r="125" spans="1:122" s="54" customFormat="1" ht="13.8">
      <c r="A125" s="55"/>
      <c r="B125" s="478" t="s">
        <v>297</v>
      </c>
      <c r="C125" s="478" t="s">
        <v>213</v>
      </c>
      <c r="D125" s="478"/>
      <c r="E125" s="267" t="s">
        <v>13</v>
      </c>
      <c r="F125" s="267" t="s">
        <v>268</v>
      </c>
      <c r="G125" s="267"/>
      <c r="H125" s="267">
        <v>365</v>
      </c>
      <c r="I125" s="85"/>
      <c r="J125" s="161"/>
      <c r="K125" s="85"/>
      <c r="O125" s="52"/>
      <c r="P125" s="52"/>
      <c r="Q125" s="52"/>
      <c r="R125" s="52"/>
      <c r="S125" s="52"/>
      <c r="T125" s="52"/>
      <c r="U125" s="52"/>
      <c r="V125" s="52"/>
      <c r="W125" s="52"/>
      <c r="X125" s="52"/>
      <c r="Y125" s="52"/>
      <c r="Z125" s="52"/>
      <c r="AA125" s="52"/>
      <c r="AB125" s="52"/>
      <c r="AC125" s="52"/>
      <c r="AD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row>
    <row r="126" spans="1:122" s="54" customFormat="1">
      <c r="A126" s="55"/>
      <c r="B126" s="93"/>
      <c r="C126" s="84"/>
      <c r="D126" s="94"/>
      <c r="E126" s="92"/>
      <c r="F126" s="101"/>
      <c r="G126" s="101"/>
      <c r="H126" s="101"/>
      <c r="I126" s="280"/>
      <c r="J126" s="85"/>
      <c r="K126" s="85"/>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row>
    <row r="127" spans="1:122" s="55" customFormat="1" ht="50.4">
      <c r="B127" s="106" t="s">
        <v>112</v>
      </c>
      <c r="C127" s="93" t="s">
        <v>101</v>
      </c>
      <c r="D127" s="83" t="s">
        <v>188</v>
      </c>
      <c r="E127" s="107"/>
      <c r="F127" s="107"/>
      <c r="G127" s="107"/>
      <c r="H127" s="107"/>
      <c r="I127" s="437" t="s">
        <v>514</v>
      </c>
      <c r="J127" s="437" t="s">
        <v>513</v>
      </c>
      <c r="K127" s="85"/>
    </row>
    <row r="128" spans="1:122" s="52" customFormat="1" ht="14.4">
      <c r="B128" s="111" t="s">
        <v>100</v>
      </c>
      <c r="C128" s="90" t="s">
        <v>97</v>
      </c>
      <c r="D128" s="94" t="s">
        <v>544</v>
      </c>
      <c r="E128" s="98" t="s">
        <v>13</v>
      </c>
      <c r="F128" s="98" t="s">
        <v>98</v>
      </c>
      <c r="G128" s="98"/>
      <c r="H128" s="98"/>
      <c r="I128" s="169">
        <f>'Pick-lists &amp; Defaults'!L16</f>
        <v>0.33889999999999998</v>
      </c>
      <c r="J128" s="169">
        <f>'Pick-lists &amp; Defaults'!L17</f>
        <v>0.14316000000000001</v>
      </c>
      <c r="K128" s="85"/>
    </row>
    <row r="129" spans="1:103" s="52" customFormat="1" ht="5.0999999999999996" customHeight="1">
      <c r="B129" s="111"/>
      <c r="C129" s="90"/>
      <c r="D129" s="86"/>
      <c r="E129" s="97"/>
      <c r="F129" s="98"/>
      <c r="G129" s="98"/>
      <c r="H129" s="98"/>
      <c r="I129" s="188"/>
      <c r="J129" s="188"/>
      <c r="K129" s="85"/>
    </row>
    <row r="130" spans="1:103" s="52" customFormat="1" ht="14.4">
      <c r="B130" s="96" t="s">
        <v>96</v>
      </c>
      <c r="C130" s="110" t="s">
        <v>45</v>
      </c>
      <c r="D130" s="94" t="s">
        <v>190</v>
      </c>
      <c r="E130" s="98" t="s">
        <v>13</v>
      </c>
      <c r="F130" s="101" t="s">
        <v>5</v>
      </c>
      <c r="G130" s="101"/>
      <c r="H130" s="97"/>
      <c r="I130" s="169">
        <f>'Pick-lists &amp; Defaults'!C16</f>
        <v>100</v>
      </c>
      <c r="J130" s="169">
        <f>'Pick-lists &amp; Defaults'!C17</f>
        <v>100</v>
      </c>
      <c r="K130" s="85"/>
    </row>
    <row r="131" spans="1:103" s="54" customFormat="1">
      <c r="A131" s="55"/>
      <c r="B131" s="93"/>
      <c r="C131" s="84"/>
      <c r="D131" s="84"/>
      <c r="E131" s="92"/>
      <c r="F131" s="92"/>
      <c r="G131" s="92"/>
      <c r="H131" s="92"/>
      <c r="I131" s="92"/>
      <c r="J131" s="106"/>
      <c r="K131" s="86"/>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8"/>
      <c r="CY131" s="58"/>
    </row>
    <row r="132" spans="1:103" s="52" customFormat="1" ht="16.2">
      <c r="A132" s="55"/>
      <c r="B132" s="80" t="s">
        <v>49</v>
      </c>
      <c r="C132" s="80"/>
      <c r="D132" s="81"/>
      <c r="E132" s="81"/>
      <c r="F132" s="81"/>
      <c r="G132" s="81"/>
      <c r="H132" s="81"/>
      <c r="I132" s="81"/>
      <c r="J132" s="81"/>
      <c r="K132" s="81"/>
      <c r="CX132" s="58"/>
      <c r="CY132" s="58"/>
    </row>
    <row r="133" spans="1:103" s="52" customFormat="1">
      <c r="A133" s="55"/>
      <c r="B133" s="83"/>
      <c r="C133" s="83"/>
      <c r="D133" s="83"/>
      <c r="E133" s="83"/>
      <c r="F133" s="83"/>
      <c r="G133" s="83"/>
      <c r="H133" s="83"/>
      <c r="I133" s="83"/>
      <c r="J133" s="83"/>
      <c r="K133" s="86"/>
      <c r="CX133" s="58"/>
      <c r="CY133" s="58"/>
    </row>
    <row r="134" spans="1:103" s="52" customFormat="1" ht="13.8">
      <c r="A134" s="55"/>
      <c r="B134" s="87" t="s">
        <v>2</v>
      </c>
      <c r="C134" s="88" t="s">
        <v>4</v>
      </c>
      <c r="D134" s="88" t="s">
        <v>9</v>
      </c>
      <c r="E134" s="89" t="s">
        <v>11</v>
      </c>
      <c r="F134" s="89" t="s">
        <v>3</v>
      </c>
      <c r="G134" s="89"/>
      <c r="H134" s="89"/>
      <c r="I134" s="89" t="s">
        <v>7</v>
      </c>
      <c r="J134" s="83"/>
      <c r="K134" s="86"/>
      <c r="CX134" s="58"/>
      <c r="CY134" s="58"/>
    </row>
    <row r="135" spans="1:103" s="52" customFormat="1">
      <c r="A135" s="55"/>
      <c r="B135" s="113"/>
      <c r="C135" s="113"/>
      <c r="D135" s="84"/>
      <c r="E135" s="113"/>
      <c r="F135" s="113"/>
      <c r="G135" s="113"/>
      <c r="H135" s="113"/>
      <c r="I135" s="113"/>
      <c r="J135" s="83"/>
      <c r="K135" s="106"/>
      <c r="CX135" s="58"/>
      <c r="CY135" s="58"/>
    </row>
    <row r="136" spans="1:103" s="52" customFormat="1" ht="25.2">
      <c r="A136" s="55"/>
      <c r="B136" s="99" t="s">
        <v>129</v>
      </c>
      <c r="C136" s="106" t="s">
        <v>127</v>
      </c>
      <c r="D136" s="305" t="s">
        <v>588</v>
      </c>
      <c r="E136" s="101" t="s">
        <v>8</v>
      </c>
      <c r="F136" s="101" t="s">
        <v>5</v>
      </c>
      <c r="G136" s="101"/>
      <c r="H136" s="101"/>
      <c r="I136" s="101">
        <v>1</v>
      </c>
      <c r="J136" s="83"/>
      <c r="K136" s="86"/>
      <c r="CX136" s="58"/>
      <c r="CY136" s="58"/>
    </row>
    <row r="137" spans="1:103" s="52" customFormat="1" ht="3" customHeight="1">
      <c r="A137" s="55"/>
      <c r="B137" s="162"/>
      <c r="C137" s="107"/>
      <c r="D137" s="162"/>
      <c r="E137" s="101"/>
      <c r="F137" s="101"/>
      <c r="G137" s="101"/>
      <c r="H137" s="101"/>
      <c r="I137" s="448"/>
      <c r="J137" s="83"/>
      <c r="K137" s="84"/>
      <c r="CX137" s="58"/>
      <c r="CY137" s="58"/>
    </row>
    <row r="138" spans="1:103" s="52" customFormat="1" ht="46.2" customHeight="1">
      <c r="A138" s="55"/>
      <c r="B138" s="99" t="s">
        <v>152</v>
      </c>
      <c r="C138" s="106" t="s">
        <v>128</v>
      </c>
      <c r="D138" s="305" t="s">
        <v>589</v>
      </c>
      <c r="E138" s="101" t="s">
        <v>8</v>
      </c>
      <c r="F138" s="101" t="s">
        <v>5</v>
      </c>
      <c r="G138" s="101"/>
      <c r="H138" s="101"/>
      <c r="I138" s="318">
        <f>IF(AND(ISNUMBER(Napp_bioc),ISNUMBER(Tbioc_int)),IF((Nlapp_grass*Tgr_int/Tbioc_int)&gt;Napp_bioc,Napp_bioc/Nlapp_grass,Tgr_int/Tbioc_int),"??")</f>
        <v>7.5714285714285712</v>
      </c>
      <c r="J138" s="83"/>
      <c r="K138" s="83"/>
      <c r="CX138" s="58"/>
      <c r="CY138" s="58"/>
    </row>
    <row r="139" spans="1:103" s="52" customFormat="1" ht="3" customHeight="1">
      <c r="A139" s="55"/>
      <c r="B139" s="135"/>
      <c r="C139" s="135"/>
      <c r="D139" s="94"/>
      <c r="E139" s="113"/>
      <c r="F139" s="113"/>
      <c r="G139" s="113"/>
      <c r="H139" s="113"/>
      <c r="I139" s="116"/>
      <c r="J139" s="83"/>
      <c r="K139" s="83"/>
      <c r="CX139" s="58"/>
      <c r="CY139" s="58"/>
    </row>
    <row r="140" spans="1:103" s="52" customFormat="1" ht="39.75" customHeight="1">
      <c r="A140" s="55"/>
      <c r="B140" s="99" t="s">
        <v>151</v>
      </c>
      <c r="C140" s="106" t="s">
        <v>103</v>
      </c>
      <c r="D140" s="99" t="s">
        <v>332</v>
      </c>
      <c r="E140" s="92" t="s">
        <v>8</v>
      </c>
      <c r="F140" s="92" t="s">
        <v>50</v>
      </c>
      <c r="G140" s="92"/>
      <c r="H140" s="92"/>
      <c r="I140" s="146" t="str">
        <f>IF(AND(ISNUMBER(Fbioc),ISNUMBER(Fdil)),0.001*Fbioc*Vreserv*Fdil,"??")</f>
        <v>??</v>
      </c>
      <c r="J140" s="83"/>
      <c r="K140" s="83"/>
    </row>
    <row r="141" spans="1:103" s="52" customFormat="1" ht="3" customHeight="1">
      <c r="A141" s="55"/>
      <c r="B141" s="96"/>
      <c r="C141" s="96"/>
      <c r="D141" s="96"/>
      <c r="E141" s="96"/>
      <c r="F141" s="83"/>
      <c r="G141" s="83"/>
      <c r="H141" s="83"/>
      <c r="I141" s="116"/>
      <c r="J141" s="83"/>
      <c r="K141" s="83"/>
    </row>
    <row r="142" spans="1:103" s="52" customFormat="1">
      <c r="A142" s="55"/>
      <c r="B142" s="494" t="s">
        <v>130</v>
      </c>
      <c r="C142" s="494"/>
      <c r="D142" s="83"/>
      <c r="E142" s="83"/>
      <c r="F142" s="83"/>
      <c r="G142" s="83"/>
      <c r="H142" s="83"/>
      <c r="I142" s="114"/>
      <c r="J142" s="83"/>
      <c r="K142" s="83"/>
    </row>
    <row r="143" spans="1:103" s="52" customFormat="1">
      <c r="A143" s="55"/>
      <c r="B143" s="172" t="s">
        <v>140</v>
      </c>
      <c r="C143" s="119" t="s">
        <v>104</v>
      </c>
      <c r="D143" s="93" t="s">
        <v>593</v>
      </c>
      <c r="E143" s="92" t="s">
        <v>8</v>
      </c>
      <c r="F143" s="92" t="s">
        <v>50</v>
      </c>
      <c r="G143" s="92"/>
      <c r="H143" s="92"/>
      <c r="I143" s="146" t="str">
        <f>IF(AND(ISNUMBER(Fmanure_slurry), ISNUMBER(Qai_prescr)),Fmanure_slurry* Qai_prescr*Ntub_filling,"??")</f>
        <v>??</v>
      </c>
      <c r="J143" s="83"/>
      <c r="K143" s="83"/>
    </row>
    <row r="144" spans="1:103" s="52" customFormat="1">
      <c r="A144" s="55"/>
      <c r="B144" s="172" t="s">
        <v>79</v>
      </c>
      <c r="C144" s="119" t="s">
        <v>105</v>
      </c>
      <c r="D144" s="93" t="s">
        <v>345</v>
      </c>
      <c r="E144" s="92" t="s">
        <v>8</v>
      </c>
      <c r="F144" s="92" t="s">
        <v>50</v>
      </c>
      <c r="G144" s="92"/>
      <c r="H144" s="92"/>
      <c r="I144" s="146" t="str">
        <f>IF(AND(ISNUMBER(Fwastewater),ISNUMBER(Qai_prescr)), Fwastewater*Qai_prescr*Ntub_filling,"??")</f>
        <v>??</v>
      </c>
      <c r="J144" s="83"/>
      <c r="K144" s="83"/>
    </row>
    <row r="145" spans="1:103" s="52" customFormat="1">
      <c r="A145" s="55"/>
      <c r="B145" s="172" t="s">
        <v>291</v>
      </c>
      <c r="C145" s="119" t="s">
        <v>293</v>
      </c>
      <c r="D145" s="99" t="s">
        <v>594</v>
      </c>
      <c r="E145" s="92" t="s">
        <v>8</v>
      </c>
      <c r="F145" s="92" t="s">
        <v>50</v>
      </c>
      <c r="G145" s="106"/>
      <c r="H145" s="106"/>
      <c r="I145" s="146" t="str">
        <f>+IF(AND(ISNUMBER(Fair),ISNUMBER(Qai_prescr)),Fair*Qai_prescr*Ntub_filling,"??")</f>
        <v>??</v>
      </c>
      <c r="J145" s="83"/>
      <c r="K145" s="83"/>
    </row>
    <row r="146" spans="1:103" s="52" customFormat="1">
      <c r="A146" s="55"/>
      <c r="B146" s="479"/>
      <c r="C146" s="106"/>
      <c r="D146" s="99"/>
      <c r="E146" s="92"/>
      <c r="F146" s="92"/>
      <c r="G146" s="106"/>
      <c r="H146" s="106"/>
      <c r="I146" s="121"/>
      <c r="J146" s="83"/>
      <c r="K146" s="83"/>
    </row>
    <row r="147" spans="1:103" s="52" customFormat="1" ht="49.5" customHeight="1">
      <c r="A147" s="55"/>
      <c r="B147" s="99" t="s">
        <v>143</v>
      </c>
      <c r="C147" s="83" t="s">
        <v>145</v>
      </c>
      <c r="D147" s="123" t="s">
        <v>146</v>
      </c>
      <c r="E147" s="92" t="s">
        <v>8</v>
      </c>
      <c r="F147" s="92" t="s">
        <v>50</v>
      </c>
      <c r="G147" s="92"/>
      <c r="H147" s="92"/>
      <c r="I147" s="146" t="str">
        <f>IF(AND(ISNUMBER(I143),ISNUMBER(Napp_manure_gr)),I143*Napp_manure_gr,"??")</f>
        <v>??</v>
      </c>
      <c r="J147" s="83"/>
      <c r="K147" s="83"/>
    </row>
    <row r="148" spans="1:103" s="52" customFormat="1" ht="3" customHeight="1">
      <c r="A148" s="55"/>
      <c r="B148" s="124"/>
      <c r="C148" s="83"/>
      <c r="D148" s="84"/>
      <c r="E148" s="92"/>
      <c r="F148" s="92"/>
      <c r="G148" s="92"/>
      <c r="H148" s="92"/>
      <c r="I148" s="121"/>
      <c r="J148" s="83"/>
      <c r="K148" s="83"/>
    </row>
    <row r="149" spans="1:103" s="52" customFormat="1" ht="37.799999999999997">
      <c r="A149" s="55"/>
      <c r="B149" s="99" t="s">
        <v>147</v>
      </c>
      <c r="C149" s="83" t="s">
        <v>148</v>
      </c>
      <c r="D149" s="123" t="s">
        <v>150</v>
      </c>
      <c r="E149" s="92" t="s">
        <v>8</v>
      </c>
      <c r="F149" s="92" t="s">
        <v>50</v>
      </c>
      <c r="G149" s="92"/>
      <c r="H149" s="92"/>
      <c r="I149" s="146" t="str">
        <f>IF(AND(ISNUMBER(I143),ISNUMBER(Napp_manure_ar)),I143*Napp_manure_ar,"??")</f>
        <v>??</v>
      </c>
      <c r="J149" s="83"/>
      <c r="K149" s="83"/>
    </row>
    <row r="150" spans="1:103" s="52" customFormat="1">
      <c r="A150" s="55"/>
      <c r="B150" s="99"/>
      <c r="C150" s="83"/>
      <c r="D150" s="123"/>
      <c r="E150" s="92"/>
      <c r="F150" s="92"/>
      <c r="G150" s="92"/>
      <c r="H150" s="92"/>
      <c r="I150" s="83"/>
      <c r="J150" s="83"/>
      <c r="K150" s="83"/>
    </row>
    <row r="151" spans="1:103" s="52" customFormat="1" ht="50.4">
      <c r="A151" s="55"/>
      <c r="B151" s="96"/>
      <c r="C151" s="83"/>
      <c r="D151" s="96"/>
      <c r="E151" s="92"/>
      <c r="F151" s="92"/>
      <c r="G151" s="92"/>
      <c r="H151" s="92"/>
      <c r="I151" s="438" t="s">
        <v>514</v>
      </c>
      <c r="J151" s="438" t="s">
        <v>513</v>
      </c>
      <c r="K151" s="83"/>
    </row>
    <row r="152" spans="1:103" s="55" customFormat="1">
      <c r="B152" s="96"/>
      <c r="C152" s="83"/>
      <c r="D152" s="96"/>
      <c r="E152" s="92"/>
      <c r="F152" s="92"/>
      <c r="G152" s="92"/>
      <c r="H152" s="92"/>
      <c r="I152" s="460"/>
      <c r="J152" s="460"/>
      <c r="K152" s="83"/>
    </row>
    <row r="153" spans="1:103" s="52" customFormat="1" ht="37.799999999999997">
      <c r="A153" s="55"/>
      <c r="B153" s="93" t="s">
        <v>113</v>
      </c>
      <c r="C153" s="83" t="s">
        <v>108</v>
      </c>
      <c r="D153" s="100" t="s">
        <v>126</v>
      </c>
      <c r="E153" s="92" t="s">
        <v>8</v>
      </c>
      <c r="F153" s="92" t="s">
        <v>50</v>
      </c>
      <c r="G153" s="92"/>
      <c r="H153" s="92"/>
      <c r="I153" s="143">
        <f t="shared" ref="I153:J153" si="0">I130*I128*Tgr_int</f>
        <v>1796.17</v>
      </c>
      <c r="J153" s="143">
        <f t="shared" si="0"/>
        <v>758.74800000000005</v>
      </c>
      <c r="K153" s="83"/>
    </row>
    <row r="154" spans="1:103" s="52" customFormat="1" ht="5.0999999999999996" customHeight="1">
      <c r="A154" s="55"/>
      <c r="B154" s="96"/>
      <c r="C154" s="83"/>
      <c r="D154" s="100"/>
      <c r="E154" s="92"/>
      <c r="F154" s="92"/>
      <c r="G154" s="92"/>
      <c r="H154" s="92"/>
      <c r="I154" s="83"/>
      <c r="J154" s="83"/>
      <c r="K154" s="83"/>
    </row>
    <row r="155" spans="1:103" s="52" customFormat="1" ht="37.799999999999997">
      <c r="A155" s="55"/>
      <c r="B155" s="93" t="s">
        <v>114</v>
      </c>
      <c r="C155" s="83" t="s">
        <v>109</v>
      </c>
      <c r="D155" s="359" t="s">
        <v>587</v>
      </c>
      <c r="E155" s="92" t="s">
        <v>8</v>
      </c>
      <c r="F155" s="92" t="s">
        <v>50</v>
      </c>
      <c r="G155" s="92"/>
      <c r="H155" s="125"/>
      <c r="I155" s="143">
        <f t="shared" ref="I155:J155" si="1">I130*I128*Tbioc_int</f>
        <v>237.23000000000002</v>
      </c>
      <c r="J155" s="143">
        <f t="shared" si="1"/>
        <v>100.212</v>
      </c>
      <c r="K155" s="83"/>
    </row>
    <row r="156" spans="1:103" s="52" customFormat="1">
      <c r="A156" s="55"/>
      <c r="B156" s="96"/>
      <c r="C156" s="96"/>
      <c r="D156" s="96"/>
      <c r="E156" s="96"/>
      <c r="F156" s="83"/>
      <c r="G156" s="83"/>
      <c r="H156" s="83"/>
      <c r="I156" s="126"/>
      <c r="J156" s="127"/>
      <c r="K156" s="83"/>
    </row>
    <row r="157" spans="1:103" s="52" customFormat="1">
      <c r="A157" s="55"/>
      <c r="B157" s="96"/>
      <c r="C157" s="96"/>
      <c r="D157" s="83"/>
      <c r="E157" s="83"/>
      <c r="F157" s="83"/>
      <c r="G157" s="83"/>
      <c r="H157" s="83"/>
      <c r="I157" s="130"/>
      <c r="J157" s="104"/>
      <c r="K157" s="83"/>
    </row>
    <row r="158" spans="1:103" s="52" customFormat="1" ht="16.2">
      <c r="A158" s="55"/>
      <c r="B158" s="80" t="s">
        <v>1</v>
      </c>
      <c r="C158" s="80"/>
      <c r="D158" s="81"/>
      <c r="E158" s="81"/>
      <c r="F158" s="81"/>
      <c r="G158" s="81"/>
      <c r="H158" s="81"/>
      <c r="I158" s="81"/>
      <c r="J158" s="81"/>
      <c r="K158" s="81"/>
      <c r="CX158" s="58"/>
      <c r="CY158" s="58"/>
    </row>
    <row r="159" spans="1:103" s="52" customFormat="1">
      <c r="A159" s="55"/>
      <c r="B159" s="83"/>
      <c r="C159" s="83"/>
      <c r="D159" s="83"/>
      <c r="E159" s="83"/>
      <c r="F159" s="83"/>
      <c r="G159" s="83"/>
      <c r="H159" s="83"/>
      <c r="I159" s="83"/>
      <c r="J159" s="83"/>
      <c r="K159" s="131"/>
      <c r="CX159" s="58"/>
      <c r="CY159" s="58"/>
    </row>
    <row r="160" spans="1:103" s="52" customFormat="1" ht="13.8">
      <c r="A160" s="55"/>
      <c r="B160" s="87" t="s">
        <v>2</v>
      </c>
      <c r="C160" s="88" t="s">
        <v>4</v>
      </c>
      <c r="D160" s="88" t="s">
        <v>9</v>
      </c>
      <c r="E160" s="89" t="s">
        <v>11</v>
      </c>
      <c r="F160" s="89" t="s">
        <v>3</v>
      </c>
      <c r="G160" s="89"/>
      <c r="H160" s="89"/>
      <c r="I160" s="89" t="s">
        <v>7</v>
      </c>
      <c r="J160" s="83"/>
      <c r="K160" s="84"/>
      <c r="CX160" s="58"/>
      <c r="CY160" s="58"/>
    </row>
    <row r="161" spans="1:103" s="52" customFormat="1">
      <c r="A161" s="55"/>
      <c r="B161" s="87"/>
      <c r="C161" s="88"/>
      <c r="D161" s="88"/>
      <c r="E161" s="89"/>
      <c r="F161" s="89"/>
      <c r="G161" s="89"/>
      <c r="H161" s="89"/>
      <c r="I161" s="89"/>
      <c r="J161" s="83"/>
      <c r="K161" s="84"/>
      <c r="CX161" s="58"/>
      <c r="CY161" s="58"/>
    </row>
    <row r="162" spans="1:103" s="52" customFormat="1" ht="17.399999999999999">
      <c r="A162" s="55"/>
      <c r="B162" s="133" t="s">
        <v>93</v>
      </c>
      <c r="C162" s="134"/>
      <c r="D162" s="83"/>
      <c r="E162" s="92"/>
      <c r="F162" s="92"/>
      <c r="G162" s="92"/>
      <c r="H162" s="92"/>
      <c r="I162" s="464"/>
      <c r="J162" s="464"/>
      <c r="K162" s="83"/>
    </row>
    <row r="163" spans="1:103" s="52" customFormat="1" ht="50.4">
      <c r="A163" s="55"/>
      <c r="B163" s="363" t="s">
        <v>441</v>
      </c>
      <c r="C163" s="84" t="s">
        <v>415</v>
      </c>
      <c r="D163" s="358" t="s">
        <v>525</v>
      </c>
      <c r="E163" s="92" t="s">
        <v>8</v>
      </c>
      <c r="F163" s="101" t="s">
        <v>115</v>
      </c>
      <c r="G163" s="101"/>
      <c r="H163" s="101"/>
      <c r="I163" s="146" t="str">
        <f>IF(AND(ISNUMBER(Qai_arab),ISNUMBER(I155)),100*Qai_arab*QN_arable/(I155*Nlapp_arab*DEPTHarable*RHOsoilwet),"??")</f>
        <v>??</v>
      </c>
      <c r="J163" s="146" t="str">
        <f>IF(AND(ISNUMBER(Qai_arab),ISNUMBER(J155)),100*Qai_arab*QN_arable/(J155*Nlapp_arab*DEPTHarable*RHOsoilwet),"??")</f>
        <v>??</v>
      </c>
      <c r="K163" s="83"/>
    </row>
    <row r="164" spans="1:103" s="52" customFormat="1" ht="3" customHeight="1">
      <c r="A164" s="55"/>
      <c r="B164" s="100"/>
      <c r="C164" s="83"/>
      <c r="D164" s="96"/>
      <c r="E164" s="92"/>
      <c r="F164" s="101"/>
      <c r="G164" s="101"/>
      <c r="H164" s="101"/>
      <c r="I164" s="147"/>
      <c r="J164" s="147"/>
      <c r="K164" s="83"/>
    </row>
    <row r="165" spans="1:103" s="52" customFormat="1" ht="15" customHeight="1">
      <c r="A165" s="55"/>
      <c r="B165" s="364" t="s">
        <v>442</v>
      </c>
      <c r="C165" s="83"/>
      <c r="D165" s="96"/>
      <c r="E165" s="92"/>
      <c r="F165" s="101"/>
      <c r="G165" s="101"/>
      <c r="H165" s="101"/>
      <c r="I165" s="149"/>
      <c r="J165" s="149"/>
      <c r="K165" s="83"/>
    </row>
    <row r="166" spans="1:103" s="52" customFormat="1" ht="50.4">
      <c r="A166" s="55"/>
      <c r="B166" s="363" t="s">
        <v>443</v>
      </c>
      <c r="C166" s="83" t="s">
        <v>428</v>
      </c>
      <c r="D166" s="359" t="s">
        <v>526</v>
      </c>
      <c r="E166" s="92" t="s">
        <v>8</v>
      </c>
      <c r="F166" s="101" t="s">
        <v>115</v>
      </c>
      <c r="G166" s="101"/>
      <c r="H166" s="101"/>
      <c r="I166" s="146" t="str">
        <f>IF(ISNUMBER(k_ar),IF(AND(k_ar&gt;0,ISNUMBER(I163)),I163*(1-POWER(EXP(-k_ar*Tar_int_10),Nlapp_arab_10))/(1-EXP(-k_ar*Tar_int_10)),"??"),"??")</f>
        <v>??</v>
      </c>
      <c r="J166" s="146" t="str">
        <f>IF(ISNUMBER(k_ar),IF(AND(k_ar&gt;0,ISNUMBER(J163)),J163*(1-POWER(EXP(-k_ar*Tar_int_10),Nlapp_arab_10))/(1-EXP(-k_ar*Tar_int_10)),"??"),"??")</f>
        <v>??</v>
      </c>
      <c r="K166" s="83"/>
    </row>
    <row r="167" spans="1:103" s="52" customFormat="1" ht="3" customHeight="1">
      <c r="A167" s="55"/>
      <c r="B167" s="113"/>
      <c r="C167" s="113"/>
      <c r="D167" s="136"/>
      <c r="E167" s="113"/>
      <c r="F167" s="113"/>
      <c r="G167" s="113"/>
      <c r="H167" s="113"/>
      <c r="I167" s="151"/>
      <c r="J167" s="151"/>
      <c r="K167" s="83"/>
      <c r="CX167" s="58"/>
      <c r="CY167" s="58"/>
    </row>
    <row r="168" spans="1:103" s="52" customFormat="1" ht="40.200000000000003">
      <c r="A168" s="55"/>
      <c r="B168" s="305" t="s">
        <v>426</v>
      </c>
      <c r="C168" s="106" t="s">
        <v>515</v>
      </c>
      <c r="D168" s="359" t="s">
        <v>527</v>
      </c>
      <c r="E168" s="92" t="s">
        <v>8</v>
      </c>
      <c r="F168" s="101" t="s">
        <v>115</v>
      </c>
      <c r="G168" s="101"/>
      <c r="H168" s="113"/>
      <c r="I168" s="146" t="str">
        <f t="shared" ref="I168:J168" si="2">IF(ISNUMBER(I166),+I166*(1-EXP(-k_ar*30))/(k_ar*30),"??")</f>
        <v>??</v>
      </c>
      <c r="J168" s="146" t="str">
        <f t="shared" si="2"/>
        <v>??</v>
      </c>
      <c r="K168" s="83"/>
      <c r="CX168" s="58"/>
      <c r="CY168" s="58"/>
    </row>
    <row r="169" spans="1:103" s="52" customFormat="1" ht="3" customHeight="1">
      <c r="A169" s="55"/>
      <c r="B169" s="99"/>
      <c r="C169" s="106"/>
      <c r="D169" s="100"/>
      <c r="E169" s="113"/>
      <c r="F169" s="113"/>
      <c r="G169" s="113"/>
      <c r="H169" s="113"/>
      <c r="I169" s="153"/>
      <c r="J169" s="153"/>
      <c r="K169" s="83"/>
      <c r="CX169" s="58"/>
      <c r="CY169" s="58"/>
    </row>
    <row r="170" spans="1:103" s="52" customFormat="1" ht="40.200000000000003">
      <c r="A170" s="55"/>
      <c r="B170" s="305" t="s">
        <v>427</v>
      </c>
      <c r="C170" s="106" t="s">
        <v>516</v>
      </c>
      <c r="D170" s="359" t="s">
        <v>528</v>
      </c>
      <c r="E170" s="92" t="s">
        <v>8</v>
      </c>
      <c r="F170" s="101" t="s">
        <v>115</v>
      </c>
      <c r="G170" s="113"/>
      <c r="H170" s="113"/>
      <c r="I170" s="146" t="str">
        <f>IF(ISNUMBER(I166),+I166*(1-EXP(-k_ar*180))/(k_ar*180),"??")</f>
        <v>??</v>
      </c>
      <c r="J170" s="146" t="str">
        <f>IF(ISNUMBER(J166),+J166*(1-EXP(-k_ar*180))/(k_ar*180),"??")</f>
        <v>??</v>
      </c>
      <c r="K170" s="83"/>
      <c r="CX170" s="58"/>
      <c r="CY170" s="58"/>
    </row>
    <row r="171" spans="1:103" s="52" customFormat="1" ht="13.5" customHeight="1">
      <c r="A171" s="55"/>
      <c r="B171" s="100"/>
      <c r="C171" s="83"/>
      <c r="D171" s="96"/>
      <c r="E171" s="113"/>
      <c r="F171" s="113"/>
      <c r="G171" s="113"/>
      <c r="H171" s="113"/>
      <c r="I171" s="153"/>
      <c r="J171" s="153"/>
      <c r="K171" s="83"/>
      <c r="CX171" s="58"/>
      <c r="CY171" s="58"/>
    </row>
    <row r="172" spans="1:103" s="52" customFormat="1" ht="17.399999999999999">
      <c r="A172" s="55"/>
      <c r="B172" s="175" t="s">
        <v>160</v>
      </c>
      <c r="C172" s="160"/>
      <c r="D172" s="96"/>
      <c r="E172" s="92"/>
      <c r="F172" s="101"/>
      <c r="G172" s="101"/>
      <c r="H172" s="105"/>
      <c r="I172" s="83"/>
      <c r="J172" s="83"/>
      <c r="K172" s="83"/>
    </row>
    <row r="173" spans="1:103" s="52" customFormat="1" ht="40.200000000000003">
      <c r="A173" s="55"/>
      <c r="B173" s="99" t="s">
        <v>175</v>
      </c>
      <c r="C173" s="86" t="s">
        <v>429</v>
      </c>
      <c r="D173" s="358" t="s">
        <v>529</v>
      </c>
      <c r="E173" s="92" t="s">
        <v>8</v>
      </c>
      <c r="F173" s="338" t="s">
        <v>401</v>
      </c>
      <c r="G173" s="101"/>
      <c r="H173" s="105"/>
      <c r="I173" s="146" t="str">
        <f>IF(AND(ISNUMBER(I170),Ksoil_water&gt;0),I170*RHOsoilwet/Ksoil_water,"??")</f>
        <v>??</v>
      </c>
      <c r="J173" s="146" t="str">
        <f>IF(AND(ISNUMBER(J170),Ksoil_water&gt;0),J170*RHOsoilwet/Ksoil_water,"??")</f>
        <v>??</v>
      </c>
      <c r="K173" s="83"/>
    </row>
    <row r="174" spans="1:103" s="52" customFormat="1" ht="5.0999999999999996" customHeight="1">
      <c r="A174" s="55"/>
      <c r="B174" s="96"/>
      <c r="C174" s="86"/>
      <c r="D174" s="358"/>
      <c r="E174" s="92"/>
      <c r="F174" s="101"/>
      <c r="G174" s="101"/>
      <c r="H174" s="105"/>
      <c r="I174" s="117"/>
      <c r="J174" s="117"/>
      <c r="K174" s="83"/>
    </row>
    <row r="175" spans="1:103" s="52" customFormat="1" ht="27.6">
      <c r="A175" s="55"/>
      <c r="B175" s="93" t="s">
        <v>177</v>
      </c>
      <c r="C175" s="86" t="s">
        <v>430</v>
      </c>
      <c r="D175" s="361" t="s">
        <v>546</v>
      </c>
      <c r="E175" s="92" t="s">
        <v>8</v>
      </c>
      <c r="F175" s="101" t="s">
        <v>456</v>
      </c>
      <c r="G175" s="101"/>
      <c r="H175" s="105"/>
      <c r="I175" s="146" t="str">
        <f>IF(AND(ISNUMBER(I168),ISNUMBER(Ksoil_water)),I168*RHOsoilwet/(Ksoil_water*DILUTION*1000),"??")</f>
        <v>??</v>
      </c>
      <c r="J175" s="146" t="str">
        <f>IF(AND(ISNUMBER(J168),ISNUMBER(Ksoil_water)),J168*RHOsoilwet/(Ksoil_water*DILUTION*1000),"??")</f>
        <v>??</v>
      </c>
      <c r="K175" s="83"/>
    </row>
    <row r="176" spans="1:103" s="52" customFormat="1" ht="5.0999999999999996" customHeight="1">
      <c r="A176" s="55"/>
      <c r="B176" s="93"/>
      <c r="C176" s="86"/>
      <c r="D176" s="358"/>
      <c r="E176" s="92"/>
      <c r="F176" s="101"/>
      <c r="G176" s="101"/>
      <c r="H176" s="105"/>
      <c r="I176" s="83"/>
      <c r="J176" s="105"/>
      <c r="K176" s="83"/>
    </row>
    <row r="177" spans="1:103" s="52" customFormat="1" ht="27.6">
      <c r="A177" s="55"/>
      <c r="B177" s="99" t="s">
        <v>161</v>
      </c>
      <c r="C177" s="305" t="s">
        <v>173</v>
      </c>
      <c r="D177" s="305" t="s">
        <v>458</v>
      </c>
      <c r="E177" s="174" t="s">
        <v>8</v>
      </c>
      <c r="F177" s="101" t="s">
        <v>115</v>
      </c>
      <c r="G177" s="101"/>
      <c r="H177" s="105"/>
      <c r="I177" s="146" t="str">
        <f>IF(AND(ISNUMBER(I175),ISNUMBER(Ksusp_water)),I175*Ksusp_water*1000/RHOsusp,"??")</f>
        <v>??</v>
      </c>
      <c r="J177" s="146" t="str">
        <f>IF(AND(ISNUMBER(J175),ISNUMBER(Ksusp_water)),J175*Ksusp_water*1000/RHOsusp,"??")</f>
        <v>??</v>
      </c>
      <c r="K177" s="83"/>
    </row>
    <row r="178" spans="1:103" s="52" customFormat="1" ht="13.5" customHeight="1">
      <c r="A178" s="55"/>
      <c r="B178" s="113"/>
      <c r="C178" s="113"/>
      <c r="D178" s="136"/>
      <c r="E178" s="113"/>
      <c r="F178" s="113"/>
      <c r="G178" s="113"/>
      <c r="H178" s="113"/>
      <c r="I178" s="153"/>
      <c r="J178" s="153"/>
      <c r="K178" s="83"/>
      <c r="CX178" s="58"/>
      <c r="CY178" s="58"/>
    </row>
    <row r="179" spans="1:103" s="52" customFormat="1" ht="17.399999999999999">
      <c r="A179" s="55"/>
      <c r="B179" s="133" t="s">
        <v>94</v>
      </c>
      <c r="C179" s="133"/>
      <c r="D179" s="133"/>
      <c r="E179" s="133"/>
      <c r="F179" s="133"/>
      <c r="G179" s="133"/>
      <c r="H179" s="133"/>
      <c r="I179" s="149"/>
      <c r="J179" s="155"/>
      <c r="K179" s="83"/>
    </row>
    <row r="180" spans="1:103" s="52" customFormat="1" ht="50.4">
      <c r="A180" s="55"/>
      <c r="B180" s="305" t="s">
        <v>444</v>
      </c>
      <c r="C180" s="83" t="s">
        <v>433</v>
      </c>
      <c r="D180" s="358" t="s">
        <v>531</v>
      </c>
      <c r="E180" s="92" t="s">
        <v>8</v>
      </c>
      <c r="F180" s="101" t="s">
        <v>115</v>
      </c>
      <c r="G180" s="101"/>
      <c r="H180" s="133"/>
      <c r="I180" s="146" t="str">
        <f>IF(AND(ISNUMBER(Qai_grass),ISNUMBER(I153)),100*Qai_grass*QN_grass/(I153*Nlapp_grass*DEPTHgrass*RHOsoilwet),"??")</f>
        <v>??</v>
      </c>
      <c r="J180" s="146" t="str">
        <f>IF(AND(ISNUMBER(Qai_grass),ISNUMBER(J153)),100*Qai_grass*QN_grass/(J153*Nlapp_grass*DEPTHgrass*RHOsoilwet),"??")</f>
        <v>??</v>
      </c>
      <c r="K180" s="83"/>
    </row>
    <row r="181" spans="1:103" s="52" customFormat="1" ht="3" customHeight="1">
      <c r="A181" s="55"/>
      <c r="B181" s="96"/>
      <c r="C181" s="159"/>
      <c r="D181" s="358"/>
      <c r="E181" s="96"/>
      <c r="F181" s="83"/>
      <c r="G181" s="83"/>
      <c r="H181" s="83"/>
      <c r="I181" s="149"/>
      <c r="J181" s="156"/>
      <c r="K181" s="83"/>
    </row>
    <row r="182" spans="1:103" s="52" customFormat="1" ht="50.4">
      <c r="A182" s="55"/>
      <c r="B182" s="305" t="s">
        <v>445</v>
      </c>
      <c r="C182" s="83" t="s">
        <v>434</v>
      </c>
      <c r="D182" s="358" t="s">
        <v>532</v>
      </c>
      <c r="E182" s="92" t="s">
        <v>8</v>
      </c>
      <c r="F182" s="101" t="s">
        <v>115</v>
      </c>
      <c r="G182" s="101"/>
      <c r="H182" s="101"/>
      <c r="I182" s="146" t="str">
        <f>IF(AND(ISNUMBER(Qai_grass),ISNUMBER(I153)),100*Qai_grass*QN_grass/(I153*DEPTHgrass*RHOsoilwet),"??")</f>
        <v>??</v>
      </c>
      <c r="J182" s="146" t="str">
        <f>IF(AND(ISNUMBER(Qai_grass),ISNUMBER(J153)),100*Qai_grass*QN_grass/(J153*DEPTHgrass*RHOsoilwet),"??")</f>
        <v>??</v>
      </c>
      <c r="K182" s="83"/>
    </row>
    <row r="183" spans="1:103" s="52" customFormat="1" ht="3" customHeight="1">
      <c r="A183" s="55"/>
      <c r="B183" s="96"/>
      <c r="C183" s="83"/>
      <c r="D183" s="96"/>
      <c r="E183" s="92"/>
      <c r="F183" s="101"/>
      <c r="G183" s="101"/>
      <c r="H183" s="101"/>
      <c r="I183" s="149"/>
      <c r="J183" s="149"/>
      <c r="K183" s="83"/>
    </row>
    <row r="184" spans="1:103" s="52" customFormat="1" ht="15" customHeight="1">
      <c r="A184" s="55"/>
      <c r="B184" s="364" t="s">
        <v>446</v>
      </c>
      <c r="C184" s="83"/>
      <c r="D184" s="96"/>
      <c r="E184" s="92"/>
      <c r="F184" s="101"/>
      <c r="G184" s="101"/>
      <c r="H184" s="101"/>
      <c r="I184" s="149"/>
      <c r="J184" s="149"/>
      <c r="K184" s="83"/>
    </row>
    <row r="185" spans="1:103" s="52" customFormat="1" ht="50.4">
      <c r="A185" s="55"/>
      <c r="B185" s="305" t="s">
        <v>447</v>
      </c>
      <c r="C185" s="83" t="s">
        <v>435</v>
      </c>
      <c r="D185" s="359" t="s">
        <v>533</v>
      </c>
      <c r="E185" s="92" t="s">
        <v>8</v>
      </c>
      <c r="F185" s="101" t="s">
        <v>115</v>
      </c>
      <c r="G185" s="101"/>
      <c r="H185" s="101"/>
      <c r="I185" s="146" t="str">
        <f>IF(ISNUMBER(k_gr),IF(AND(k_gr&gt;0,ISNUMBER(I180)),I180*((1-POWER(EXP(-k_gr*Tgr_int),Nlapp_grass)))/(1-EXP(-k_gr*Tgr_int)),"??"),"??")</f>
        <v>??</v>
      </c>
      <c r="J185" s="146" t="str">
        <f>IF(ISNUMBER(k_gr),IF(AND(k_gr&gt;0,ISNUMBER(J180)),J180*((1-POWER(EXP(-k_gr*Tgr_int),Nlapp_grass)))/(1-EXP(-k_gr*Tgr_int)),"??"),"??")</f>
        <v>??</v>
      </c>
      <c r="K185" s="83"/>
    </row>
    <row r="186" spans="1:103" s="52" customFormat="1" ht="3" customHeight="1">
      <c r="A186" s="55"/>
      <c r="B186" s="113"/>
      <c r="C186" s="113"/>
      <c r="D186" s="136"/>
      <c r="E186" s="113"/>
      <c r="F186" s="113"/>
      <c r="G186" s="113"/>
      <c r="H186" s="113"/>
      <c r="I186" s="151"/>
      <c r="J186" s="151"/>
      <c r="K186" s="83"/>
      <c r="CX186" s="58"/>
      <c r="CY186" s="58"/>
    </row>
    <row r="187" spans="1:103" s="52" customFormat="1" ht="15" customHeight="1">
      <c r="A187" s="55"/>
      <c r="B187" s="364" t="s">
        <v>442</v>
      </c>
      <c r="C187" s="83"/>
      <c r="D187" s="96"/>
      <c r="E187" s="92"/>
      <c r="F187" s="101"/>
      <c r="G187" s="101"/>
      <c r="H187" s="101"/>
      <c r="I187" s="149"/>
      <c r="J187" s="149"/>
      <c r="K187" s="83"/>
    </row>
    <row r="188" spans="1:103" s="52" customFormat="1" ht="50.4">
      <c r="A188" s="55"/>
      <c r="B188" s="305" t="s">
        <v>448</v>
      </c>
      <c r="C188" s="106" t="s">
        <v>436</v>
      </c>
      <c r="D188" s="362" t="s">
        <v>534</v>
      </c>
      <c r="E188" s="92" t="s">
        <v>8</v>
      </c>
      <c r="F188" s="101" t="s">
        <v>115</v>
      </c>
      <c r="G188" s="101"/>
      <c r="H188" s="101"/>
      <c r="I188" s="146" t="str">
        <f>IF(AND(ISNUMBER(I185),ISNUMBER(k_gr)),I185*(1-(POWER(EXP(-k_gr*365),10)))/(1-EXP(-k_gr*365)),"??")</f>
        <v>??</v>
      </c>
      <c r="J188" s="146" t="str">
        <f>IF(AND(ISNUMBER(J185),ISNUMBER(k_gr)),J185*(1-(POWER(EXP(-k_gr*365),10)))/(1-EXP(-k_gr*365)),"??")</f>
        <v>??</v>
      </c>
      <c r="K188" s="83"/>
    </row>
    <row r="189" spans="1:103" s="52" customFormat="1" ht="3" customHeight="1">
      <c r="A189" s="55"/>
      <c r="B189" s="113"/>
      <c r="C189" s="113"/>
      <c r="D189" s="136"/>
      <c r="E189" s="113"/>
      <c r="F189" s="113"/>
      <c r="G189" s="113"/>
      <c r="H189" s="113"/>
      <c r="I189" s="116"/>
      <c r="J189" s="116"/>
      <c r="K189" s="83"/>
      <c r="CX189" s="58"/>
      <c r="CY189" s="58"/>
    </row>
    <row r="190" spans="1:103" s="52" customFormat="1" ht="39">
      <c r="A190" s="55"/>
      <c r="B190" s="305" t="s">
        <v>431</v>
      </c>
      <c r="C190" s="85" t="s">
        <v>437</v>
      </c>
      <c r="D190" s="359" t="s">
        <v>535</v>
      </c>
      <c r="E190" s="92" t="s">
        <v>8</v>
      </c>
      <c r="F190" s="101" t="s">
        <v>115</v>
      </c>
      <c r="G190" s="101"/>
      <c r="H190" s="113"/>
      <c r="I190" s="146" t="str">
        <f t="shared" ref="I190:J190" si="3">IF(ISNUMBER(I188),I188*(1-EXP(-k_gr*30))/(k_gr*30),"??")</f>
        <v>??</v>
      </c>
      <c r="J190" s="146" t="str">
        <f t="shared" si="3"/>
        <v>??</v>
      </c>
      <c r="K190" s="83"/>
      <c r="CX190" s="58"/>
      <c r="CY190" s="58"/>
    </row>
    <row r="191" spans="1:103" s="52" customFormat="1" ht="3" customHeight="1">
      <c r="A191" s="55"/>
      <c r="B191" s="305"/>
      <c r="C191" s="85"/>
      <c r="D191" s="359"/>
      <c r="E191" s="113"/>
      <c r="F191" s="113"/>
      <c r="G191" s="113"/>
      <c r="H191" s="113"/>
      <c r="I191" s="83"/>
      <c r="J191" s="113"/>
      <c r="K191" s="83"/>
      <c r="CX191" s="58"/>
      <c r="CY191" s="58"/>
    </row>
    <row r="192" spans="1:103" s="52" customFormat="1" ht="39">
      <c r="A192" s="55"/>
      <c r="B192" s="305" t="s">
        <v>432</v>
      </c>
      <c r="C192" s="85" t="s">
        <v>438</v>
      </c>
      <c r="D192" s="359" t="s">
        <v>536</v>
      </c>
      <c r="E192" s="92" t="s">
        <v>8</v>
      </c>
      <c r="F192" s="101" t="s">
        <v>115</v>
      </c>
      <c r="G192" s="113"/>
      <c r="H192" s="113"/>
      <c r="I192" s="146" t="str">
        <f>IF(ISNUMBER(I188),I188*(1-EXP(-k_gr*180))/(k_gr*180),"??")</f>
        <v>??</v>
      </c>
      <c r="J192" s="146" t="str">
        <f>IF(ISNUMBER(J188),J188*(1-EXP(-k_gr*180))/(k_gr*180),"??")</f>
        <v>??</v>
      </c>
      <c r="K192" s="83"/>
      <c r="CX192" s="58"/>
      <c r="CY192" s="58"/>
    </row>
    <row r="193" spans="1:103" s="52" customFormat="1">
      <c r="A193" s="55"/>
      <c r="B193" s="305"/>
      <c r="C193" s="83"/>
      <c r="D193" s="358"/>
      <c r="E193" s="113"/>
      <c r="F193" s="113"/>
      <c r="G193" s="113"/>
      <c r="H193" s="113"/>
      <c r="I193" s="83"/>
      <c r="J193" s="113"/>
      <c r="K193" s="83"/>
      <c r="CX193" s="58"/>
      <c r="CY193" s="58"/>
    </row>
    <row r="194" spans="1:103" s="52" customFormat="1" ht="17.399999999999999">
      <c r="A194" s="55"/>
      <c r="B194" s="175" t="s">
        <v>159</v>
      </c>
      <c r="C194" s="113"/>
      <c r="D194" s="133"/>
      <c r="E194" s="133"/>
      <c r="F194" s="133"/>
      <c r="G194" s="133"/>
      <c r="H194" s="133"/>
      <c r="I194" s="83"/>
      <c r="J194" s="92"/>
      <c r="K194" s="83"/>
    </row>
    <row r="195" spans="1:103" s="52" customFormat="1" ht="40.200000000000003">
      <c r="A195" s="55"/>
      <c r="B195" s="99" t="s">
        <v>174</v>
      </c>
      <c r="C195" s="86" t="s">
        <v>439</v>
      </c>
      <c r="D195" s="358" t="s">
        <v>537</v>
      </c>
      <c r="E195" s="92" t="s">
        <v>8</v>
      </c>
      <c r="F195" s="338" t="s">
        <v>401</v>
      </c>
      <c r="G195" s="101"/>
      <c r="H195" s="105"/>
      <c r="I195" s="146" t="str">
        <f>IF(AND(ISNUMBER(I192),Ksoil_water&gt;0),I192*RHOsoilwet/Ksoil_water,"??")</f>
        <v>??</v>
      </c>
      <c r="J195" s="146" t="str">
        <f>IF(AND(ISNUMBER(J192),Ksoil_water&gt;0),J192*RHOsoilwet/Ksoil_water,"??")</f>
        <v>??</v>
      </c>
      <c r="K195" s="83"/>
    </row>
    <row r="196" spans="1:103" s="52" customFormat="1" ht="5.0999999999999996" customHeight="1">
      <c r="A196" s="55"/>
      <c r="B196" s="96"/>
      <c r="C196" s="86"/>
      <c r="D196" s="358"/>
      <c r="E196" s="92"/>
      <c r="F196" s="101"/>
      <c r="G196" s="101"/>
      <c r="H196" s="105"/>
      <c r="I196" s="117"/>
      <c r="J196" s="117"/>
      <c r="K196" s="83"/>
    </row>
    <row r="197" spans="1:103" s="52" customFormat="1" ht="27.6">
      <c r="A197" s="55"/>
      <c r="B197" s="99" t="s">
        <v>176</v>
      </c>
      <c r="C197" s="86" t="s">
        <v>440</v>
      </c>
      <c r="D197" s="361" t="s">
        <v>545</v>
      </c>
      <c r="E197" s="174" t="s">
        <v>8</v>
      </c>
      <c r="F197" s="101" t="s">
        <v>456</v>
      </c>
      <c r="G197" s="101"/>
      <c r="H197" s="105"/>
      <c r="I197" s="146" t="str">
        <f>IF(AND(ISNUMBER(I190),ISNUMBER(Ksoil_water)),I190*RHOsoilwet/(Ksoil_water*DILUTION*1000),"??")</f>
        <v>??</v>
      </c>
      <c r="J197" s="146" t="str">
        <f>IF(AND(ISNUMBER(J190),ISNUMBER(Ksoil_water)),J190*RHOsoilwet/(Ksoil_water*DILUTION*1000),"??")</f>
        <v>??</v>
      </c>
      <c r="K197" s="83"/>
    </row>
    <row r="198" spans="1:103" s="52" customFormat="1" ht="3" customHeight="1">
      <c r="A198" s="55"/>
      <c r="B198" s="160"/>
      <c r="C198" s="86"/>
      <c r="D198" s="358"/>
      <c r="E198" s="174"/>
      <c r="F198" s="101"/>
      <c r="G198" s="101"/>
      <c r="H198" s="105"/>
      <c r="I198" s="83"/>
      <c r="J198" s="83"/>
      <c r="K198" s="83"/>
    </row>
    <row r="199" spans="1:103" s="52" customFormat="1" ht="27.6">
      <c r="A199" s="55"/>
      <c r="B199" s="99" t="s">
        <v>161</v>
      </c>
      <c r="C199" s="305" t="s">
        <v>162</v>
      </c>
      <c r="D199" s="305" t="s">
        <v>457</v>
      </c>
      <c r="E199" s="174" t="s">
        <v>8</v>
      </c>
      <c r="F199" s="101" t="s">
        <v>115</v>
      </c>
      <c r="G199" s="101"/>
      <c r="H199" s="105"/>
      <c r="I199" s="146" t="str">
        <f>IF(AND(ISNUMBER(I197),ISNUMBER(Ksusp_water)),+I197*Ksusp_water*1000/RHOsusp,"??")</f>
        <v>??</v>
      </c>
      <c r="J199" s="146" t="str">
        <f>IF(AND(ISNUMBER(J197),ISNUMBER(Ksusp_water)),+J197*Ksusp_water*1000/RHOsusp,"??")</f>
        <v>??</v>
      </c>
      <c r="K199" s="83"/>
    </row>
    <row r="200" spans="1:103" s="52" customFormat="1">
      <c r="A200" s="55"/>
      <c r="B200" s="99"/>
      <c r="C200" s="305"/>
      <c r="D200" s="305"/>
      <c r="E200" s="174"/>
      <c r="F200" s="101"/>
      <c r="G200" s="101"/>
      <c r="H200" s="105"/>
      <c r="I200" s="83"/>
      <c r="J200" s="83"/>
      <c r="K200" s="83"/>
    </row>
    <row r="201" spans="1:103" s="52" customFormat="1" ht="17.399999999999999">
      <c r="A201" s="55"/>
      <c r="B201" s="133" t="s">
        <v>291</v>
      </c>
      <c r="C201" s="133"/>
      <c r="D201" s="133"/>
      <c r="E201" s="96"/>
      <c r="F201" s="101"/>
      <c r="G201" s="101"/>
      <c r="H201" s="105"/>
      <c r="I201" s="83"/>
      <c r="J201" s="83"/>
      <c r="K201" s="83"/>
    </row>
    <row r="202" spans="1:103" s="52" customFormat="1" ht="15">
      <c r="A202" s="55"/>
      <c r="B202" s="93" t="s">
        <v>221</v>
      </c>
      <c r="C202" s="99" t="s">
        <v>296</v>
      </c>
      <c r="D202" s="279" t="s">
        <v>344</v>
      </c>
      <c r="E202" s="174" t="s">
        <v>8</v>
      </c>
      <c r="F202" s="101" t="s">
        <v>266</v>
      </c>
      <c r="G202" s="101"/>
      <c r="H202" s="105"/>
      <c r="I202" s="146" t="str">
        <f>+IF(ISNUMBER(I145),I145*Cstd_air*Napp_bioc/(Temission*source_strength),"??")</f>
        <v>??</v>
      </c>
      <c r="J202" s="146" t="str">
        <f>+IF(ISNUMBER(I145),I145*Cstd_air*Napp_bioc/(Temission*source_strength),"??")</f>
        <v>??</v>
      </c>
      <c r="K202" s="83"/>
    </row>
    <row r="203" spans="1:103" s="52" customFormat="1">
      <c r="A203" s="55"/>
      <c r="B203" s="93"/>
      <c r="C203" s="99"/>
      <c r="D203" s="99"/>
      <c r="E203" s="279"/>
      <c r="F203" s="101"/>
      <c r="G203" s="101"/>
      <c r="H203" s="105"/>
      <c r="I203" s="83"/>
      <c r="J203" s="83"/>
      <c r="K203" s="83"/>
    </row>
    <row r="204" spans="1:103" s="52" customFormat="1" ht="17.399999999999999">
      <c r="A204" s="55"/>
      <c r="B204" s="133" t="s">
        <v>51</v>
      </c>
      <c r="C204" s="133"/>
      <c r="D204" s="133"/>
      <c r="E204" s="133"/>
      <c r="F204" s="86"/>
      <c r="G204" s="86"/>
      <c r="H204" s="86"/>
      <c r="I204" s="83"/>
      <c r="J204" s="92"/>
      <c r="K204" s="83"/>
    </row>
    <row r="205" spans="1:103" s="52" customFormat="1" ht="25.2">
      <c r="A205" s="55"/>
      <c r="B205" s="93" t="s">
        <v>355</v>
      </c>
      <c r="C205" s="93" t="s">
        <v>105</v>
      </c>
      <c r="D205" s="96" t="s">
        <v>345</v>
      </c>
      <c r="E205" s="92" t="s">
        <v>8</v>
      </c>
      <c r="F205" s="92" t="s">
        <v>261</v>
      </c>
      <c r="G205" s="92"/>
      <c r="H205" s="92"/>
      <c r="I205" s="146" t="str">
        <f>IF(AND(ISNUMBER(Fwastewater),ISNUMBER(Qai_prescr)),Fwastewater* Qai_prescr*Ntub_filling,"??")</f>
        <v>??</v>
      </c>
      <c r="J205" s="146" t="str">
        <f>IF(AND(ISNUMBER(Fwastewater),ISNUMBER(Qai_prescr)),Fwastewater* Qai_prescr*Ntub_filling,"??")</f>
        <v>??</v>
      </c>
      <c r="K205" s="83"/>
    </row>
    <row r="206" spans="1:103" s="55" customFormat="1" ht="12" customHeight="1">
      <c r="B206" s="96"/>
      <c r="C206" s="83"/>
      <c r="D206" s="84"/>
      <c r="E206" s="83"/>
      <c r="F206" s="83"/>
      <c r="G206" s="83"/>
      <c r="H206" s="83"/>
      <c r="I206" s="83"/>
      <c r="J206" s="138"/>
      <c r="K206" s="83"/>
    </row>
    <row r="207" spans="1:103" s="55" customFormat="1">
      <c r="B207" s="96"/>
      <c r="C207" s="91"/>
      <c r="D207" s="139"/>
      <c r="E207" s="83"/>
      <c r="F207" s="83"/>
      <c r="G207" s="83"/>
      <c r="H207" s="83"/>
      <c r="I207" s="83"/>
      <c r="J207" s="106"/>
      <c r="K207" s="83"/>
    </row>
    <row r="208" spans="1:103" s="52" customFormat="1">
      <c r="A208" s="55"/>
      <c r="B208" s="493" t="s">
        <v>12</v>
      </c>
      <c r="C208" s="493"/>
      <c r="D208" s="493"/>
      <c r="E208" s="493"/>
      <c r="F208" s="493"/>
      <c r="G208" s="493"/>
      <c r="H208" s="493"/>
      <c r="I208" s="493"/>
      <c r="J208" s="493"/>
    </row>
    <row r="209" spans="2:11" s="52" customFormat="1">
      <c r="B209" s="493"/>
      <c r="C209" s="493"/>
      <c r="D209" s="493"/>
      <c r="E209" s="493"/>
      <c r="F209" s="493"/>
      <c r="G209" s="493"/>
      <c r="H209" s="493"/>
      <c r="I209" s="493"/>
      <c r="J209" s="493"/>
    </row>
    <row r="210" spans="2:11" s="52" customFormat="1">
      <c r="B210" s="493"/>
      <c r="C210" s="493"/>
      <c r="D210" s="493"/>
      <c r="E210" s="493"/>
      <c r="F210" s="493"/>
      <c r="G210" s="493"/>
      <c r="H210" s="493"/>
      <c r="I210" s="493"/>
      <c r="J210" s="493"/>
    </row>
    <row r="211" spans="2:11" s="52" customFormat="1"/>
    <row r="212" spans="2:11" s="52" customFormat="1">
      <c r="K212" s="53"/>
    </row>
    <row r="213" spans="2:11" s="52" customFormat="1">
      <c r="K213" s="53"/>
    </row>
    <row r="214" spans="2:11" s="52" customFormat="1">
      <c r="K214" s="53"/>
    </row>
    <row r="215" spans="2:11" s="52" customFormat="1">
      <c r="K215" s="53"/>
    </row>
    <row r="216" spans="2:11" s="52" customFormat="1">
      <c r="K216" s="53"/>
    </row>
    <row r="217" spans="2:11" s="52" customFormat="1">
      <c r="K217" s="53"/>
    </row>
    <row r="218" spans="2:11" s="52" customFormat="1">
      <c r="K218" s="53"/>
    </row>
    <row r="219" spans="2:11" s="52" customFormat="1">
      <c r="K219" s="53"/>
    </row>
    <row r="220" spans="2:11" s="52" customFormat="1">
      <c r="K220" s="53"/>
    </row>
    <row r="221" spans="2:11" s="52" customFormat="1">
      <c r="K221" s="53"/>
    </row>
    <row r="222" spans="2:11" s="52" customFormat="1">
      <c r="K222" s="53"/>
    </row>
    <row r="223" spans="2:11" s="52" customFormat="1">
      <c r="K223" s="53"/>
    </row>
    <row r="224" spans="2:11" s="52" customFormat="1">
      <c r="K224" s="53"/>
    </row>
    <row r="225" spans="11:11" s="52" customFormat="1">
      <c r="K225" s="53"/>
    </row>
    <row r="226" spans="11:11" s="52" customFormat="1">
      <c r="K226" s="53"/>
    </row>
    <row r="227" spans="11:11" s="52" customFormat="1">
      <c r="K227" s="53"/>
    </row>
    <row r="228" spans="11:11" s="52" customFormat="1">
      <c r="K228" s="53"/>
    </row>
    <row r="229" spans="11:11" s="52" customFormat="1">
      <c r="K229" s="53"/>
    </row>
    <row r="230" spans="11:11" s="52" customFormat="1">
      <c r="K230" s="53"/>
    </row>
    <row r="231" spans="11:11" s="52" customFormat="1">
      <c r="K231" s="53"/>
    </row>
    <row r="232" spans="11:11" s="52" customFormat="1">
      <c r="K232" s="53"/>
    </row>
    <row r="233" spans="11:11" s="52" customFormat="1">
      <c r="K233" s="53"/>
    </row>
    <row r="234" spans="11:11" s="52" customFormat="1">
      <c r="K234" s="53"/>
    </row>
    <row r="235" spans="11:11" s="52" customFormat="1">
      <c r="K235" s="53"/>
    </row>
    <row r="236" spans="11:11" s="52" customFormat="1">
      <c r="K236" s="53"/>
    </row>
    <row r="237" spans="11:11" s="52" customFormat="1">
      <c r="K237" s="53"/>
    </row>
    <row r="238" spans="11:11" s="52" customFormat="1">
      <c r="K238" s="53"/>
    </row>
    <row r="239" spans="11:11" s="52" customFormat="1">
      <c r="K239" s="53"/>
    </row>
    <row r="240" spans="11:11" s="52" customFormat="1">
      <c r="K240" s="53"/>
    </row>
    <row r="241" spans="11:11" s="52" customFormat="1">
      <c r="K241" s="53"/>
    </row>
    <row r="242" spans="11:11" s="52" customFormat="1">
      <c r="K242" s="53"/>
    </row>
    <row r="243" spans="11:11" s="52" customFormat="1">
      <c r="K243" s="53"/>
    </row>
    <row r="244" spans="11:11" s="52" customFormat="1">
      <c r="K244" s="53"/>
    </row>
    <row r="245" spans="11:11" s="52" customFormat="1">
      <c r="K245" s="53"/>
    </row>
    <row r="246" spans="11:11" s="52" customFormat="1">
      <c r="K246" s="53"/>
    </row>
    <row r="247" spans="11:11" s="52" customFormat="1">
      <c r="K247" s="53"/>
    </row>
    <row r="248" spans="11:11" s="52" customFormat="1">
      <c r="K248" s="53"/>
    </row>
    <row r="249" spans="11:11" s="52" customFormat="1">
      <c r="K249" s="53"/>
    </row>
    <row r="250" spans="11:11" s="52" customFormat="1">
      <c r="K250" s="53"/>
    </row>
    <row r="251" spans="11:11" s="52" customFormat="1">
      <c r="K251" s="53"/>
    </row>
    <row r="252" spans="11:11" s="52" customFormat="1">
      <c r="K252" s="53"/>
    </row>
    <row r="253" spans="11:11" s="52" customFormat="1">
      <c r="K253" s="53"/>
    </row>
    <row r="254" spans="11:11" s="52" customFormat="1">
      <c r="K254" s="53"/>
    </row>
    <row r="255" spans="11:11" s="52" customFormat="1">
      <c r="K255" s="53"/>
    </row>
    <row r="256" spans="11:11" s="52" customFormat="1">
      <c r="K256" s="53"/>
    </row>
    <row r="257" spans="11:11" s="52" customFormat="1">
      <c r="K257" s="53"/>
    </row>
    <row r="258" spans="11:11" s="52" customFormat="1">
      <c r="K258" s="53"/>
    </row>
    <row r="259" spans="11:11" s="52" customFormat="1">
      <c r="K259" s="53"/>
    </row>
    <row r="260" spans="11:11" s="52" customFormat="1">
      <c r="K260" s="53"/>
    </row>
    <row r="261" spans="11:11" s="52" customFormat="1">
      <c r="K261" s="53"/>
    </row>
    <row r="262" spans="11:11" s="52" customFormat="1">
      <c r="K262" s="53"/>
    </row>
    <row r="263" spans="11:11" s="52" customFormat="1">
      <c r="K263" s="53"/>
    </row>
    <row r="264" spans="11:11" s="52" customFormat="1">
      <c r="K264" s="53"/>
    </row>
    <row r="265" spans="11:11" s="52" customFormat="1">
      <c r="K265" s="53"/>
    </row>
    <row r="266" spans="11:11" s="52" customFormat="1">
      <c r="K266" s="53"/>
    </row>
    <row r="267" spans="11:11" s="52" customFormat="1">
      <c r="K267" s="53"/>
    </row>
    <row r="268" spans="11:11" s="52" customFormat="1">
      <c r="K268" s="53"/>
    </row>
    <row r="269" spans="11:11" s="52" customFormat="1">
      <c r="K269" s="53"/>
    </row>
    <row r="270" spans="11:11" s="52" customFormat="1">
      <c r="K270" s="53"/>
    </row>
    <row r="271" spans="11:11" s="52" customFormat="1">
      <c r="K271" s="53"/>
    </row>
    <row r="272" spans="11:11" s="52" customFormat="1">
      <c r="K272" s="53"/>
    </row>
    <row r="273" spans="11:11" s="52" customFormat="1">
      <c r="K273" s="53"/>
    </row>
    <row r="274" spans="11:11" s="52" customFormat="1">
      <c r="K274" s="53"/>
    </row>
    <row r="275" spans="11:11" s="52" customFormat="1">
      <c r="K275" s="53"/>
    </row>
    <row r="276" spans="11:11" s="52" customFormat="1">
      <c r="K276" s="53"/>
    </row>
    <row r="277" spans="11:11" s="52" customFormat="1">
      <c r="K277" s="53"/>
    </row>
    <row r="278" spans="11:11" s="52" customFormat="1">
      <c r="K278" s="53"/>
    </row>
    <row r="279" spans="11:11" s="52" customFormat="1">
      <c r="K279" s="53"/>
    </row>
    <row r="280" spans="11:11" s="52" customFormat="1">
      <c r="K280" s="53"/>
    </row>
    <row r="281" spans="11:11" s="52" customFormat="1">
      <c r="K281" s="53"/>
    </row>
    <row r="282" spans="11:11" s="52" customFormat="1">
      <c r="K282" s="53"/>
    </row>
    <row r="283" spans="11:11" s="52" customFormat="1">
      <c r="K283" s="53"/>
    </row>
    <row r="284" spans="11:11" s="52" customFormat="1">
      <c r="K284" s="53"/>
    </row>
    <row r="285" spans="11:11" s="52" customFormat="1">
      <c r="K285" s="53"/>
    </row>
    <row r="286" spans="11:11" s="52" customFormat="1">
      <c r="K286" s="53"/>
    </row>
    <row r="287" spans="11:11" s="52" customFormat="1">
      <c r="K287" s="53"/>
    </row>
    <row r="288" spans="11:11" s="52" customFormat="1">
      <c r="K288" s="53"/>
    </row>
    <row r="289" spans="11:11" s="52" customFormat="1">
      <c r="K289" s="53"/>
    </row>
    <row r="290" spans="11:11" s="52" customFormat="1">
      <c r="K290" s="53"/>
    </row>
    <row r="291" spans="11:11" s="52" customFormat="1">
      <c r="K291" s="53"/>
    </row>
    <row r="292" spans="11:11" s="52" customFormat="1">
      <c r="K292" s="53"/>
    </row>
    <row r="293" spans="11:11" s="52" customFormat="1">
      <c r="K293" s="53"/>
    </row>
    <row r="294" spans="11:11" s="52" customFormat="1">
      <c r="K294" s="53"/>
    </row>
    <row r="295" spans="11:11" s="52" customFormat="1">
      <c r="K295" s="53"/>
    </row>
    <row r="296" spans="11:11" s="52" customFormat="1">
      <c r="K296" s="53"/>
    </row>
    <row r="297" spans="11:11" s="52" customFormat="1">
      <c r="K297" s="53"/>
    </row>
    <row r="298" spans="11:11" s="52" customFormat="1">
      <c r="K298" s="53"/>
    </row>
    <row r="299" spans="11:11" s="52" customFormat="1">
      <c r="K299" s="53"/>
    </row>
    <row r="300" spans="11:11" s="52" customFormat="1">
      <c r="K300" s="53"/>
    </row>
    <row r="301" spans="11:11" s="52" customFormat="1">
      <c r="K301" s="53"/>
    </row>
    <row r="302" spans="11:11" s="52" customFormat="1">
      <c r="K302" s="53"/>
    </row>
    <row r="303" spans="11:11" s="52" customFormat="1">
      <c r="K303" s="53"/>
    </row>
    <row r="304" spans="11:11" s="52" customFormat="1">
      <c r="K304" s="53"/>
    </row>
    <row r="305" spans="11:11" s="52" customFormat="1">
      <c r="K305" s="53"/>
    </row>
    <row r="306" spans="11:11" s="52" customFormat="1">
      <c r="K306" s="53"/>
    </row>
    <row r="307" spans="11:11" s="52" customFormat="1">
      <c r="K307" s="53"/>
    </row>
    <row r="308" spans="11:11" s="52" customFormat="1">
      <c r="K308" s="53"/>
    </row>
    <row r="309" spans="11:11" s="52" customFormat="1">
      <c r="K309" s="53"/>
    </row>
    <row r="310" spans="11:11" s="52" customFormat="1">
      <c r="K310" s="53"/>
    </row>
    <row r="311" spans="11:11" s="52" customFormat="1">
      <c r="K311" s="53"/>
    </row>
    <row r="312" spans="11:11" s="52" customFormat="1">
      <c r="K312" s="53"/>
    </row>
    <row r="313" spans="11:11" s="52" customFormat="1">
      <c r="K313" s="53"/>
    </row>
    <row r="314" spans="11:11" s="52" customFormat="1">
      <c r="K314" s="53"/>
    </row>
    <row r="315" spans="11:11" s="52" customFormat="1">
      <c r="K315" s="53"/>
    </row>
    <row r="316" spans="11:11" s="52" customFormat="1">
      <c r="K316" s="53"/>
    </row>
    <row r="317" spans="11:11" s="52" customFormat="1">
      <c r="K317" s="53"/>
    </row>
    <row r="318" spans="11:11" s="52" customFormat="1">
      <c r="K318" s="53"/>
    </row>
    <row r="319" spans="11:11" s="52" customFormat="1">
      <c r="K319" s="53"/>
    </row>
    <row r="320" spans="11:11" s="52" customFormat="1">
      <c r="K320" s="53"/>
    </row>
    <row r="321" spans="11:11" s="52" customFormat="1">
      <c r="K321" s="53"/>
    </row>
    <row r="322" spans="11:11" s="52" customFormat="1">
      <c r="K322" s="53"/>
    </row>
    <row r="323" spans="11:11" s="52" customFormat="1">
      <c r="K323" s="53"/>
    </row>
    <row r="324" spans="11:11" s="52" customFormat="1">
      <c r="K324" s="53"/>
    </row>
    <row r="325" spans="11:11" s="52" customFormat="1">
      <c r="K325" s="53"/>
    </row>
    <row r="326" spans="11:11" s="52" customFormat="1">
      <c r="K326" s="53"/>
    </row>
    <row r="327" spans="11:11" s="52" customFormat="1">
      <c r="K327" s="53"/>
    </row>
    <row r="328" spans="11:11" s="52" customFormat="1">
      <c r="K328" s="53"/>
    </row>
    <row r="329" spans="11:11" s="52" customFormat="1">
      <c r="K329" s="53"/>
    </row>
    <row r="330" spans="11:11" s="52" customFormat="1">
      <c r="K330" s="53"/>
    </row>
    <row r="331" spans="11:11" s="52" customFormat="1">
      <c r="K331" s="53"/>
    </row>
    <row r="332" spans="11:11" s="52" customFormat="1">
      <c r="K332" s="53"/>
    </row>
    <row r="333" spans="11:11" s="52" customFormat="1">
      <c r="K333" s="53"/>
    </row>
    <row r="334" spans="11:11" s="52" customFormat="1">
      <c r="K334" s="53"/>
    </row>
    <row r="335" spans="11:11" s="52" customFormat="1">
      <c r="K335" s="53"/>
    </row>
    <row r="336" spans="11:11" s="52" customFormat="1">
      <c r="K336" s="53"/>
    </row>
    <row r="337" spans="11:11" s="52" customFormat="1">
      <c r="K337" s="53"/>
    </row>
    <row r="338" spans="11:11" s="52" customFormat="1">
      <c r="K338" s="53"/>
    </row>
    <row r="339" spans="11:11" s="52" customFormat="1">
      <c r="K339" s="53"/>
    </row>
    <row r="340" spans="11:11" s="52" customFormat="1">
      <c r="K340" s="53"/>
    </row>
    <row r="341" spans="11:11" s="52" customFormat="1">
      <c r="K341" s="53"/>
    </row>
    <row r="342" spans="11:11" s="52" customFormat="1">
      <c r="K342" s="53"/>
    </row>
    <row r="343" spans="11:11" s="52" customFormat="1">
      <c r="K343" s="53"/>
    </row>
    <row r="344" spans="11:11" s="52" customFormat="1">
      <c r="K344" s="53"/>
    </row>
    <row r="345" spans="11:11" s="52" customFormat="1">
      <c r="K345" s="53"/>
    </row>
    <row r="346" spans="11:11" s="52" customFormat="1">
      <c r="K346" s="53"/>
    </row>
    <row r="347" spans="11:11" s="52" customFormat="1">
      <c r="K347" s="53"/>
    </row>
    <row r="348" spans="11:11" s="52" customFormat="1">
      <c r="K348" s="53"/>
    </row>
    <row r="349" spans="11:11" s="52" customFormat="1">
      <c r="K349" s="53"/>
    </row>
    <row r="350" spans="11:11" s="52" customFormat="1">
      <c r="K350" s="53"/>
    </row>
    <row r="351" spans="11:11" s="52" customFormat="1">
      <c r="K351" s="53"/>
    </row>
    <row r="352" spans="11:11" s="52" customFormat="1">
      <c r="K352" s="53"/>
    </row>
    <row r="353" spans="11:11" s="52" customFormat="1">
      <c r="K353" s="53"/>
    </row>
    <row r="354" spans="11:11" s="52" customFormat="1">
      <c r="K354" s="53"/>
    </row>
    <row r="355" spans="11:11" s="52" customFormat="1">
      <c r="K355" s="53"/>
    </row>
    <row r="356" spans="11:11" s="52" customFormat="1">
      <c r="K356" s="53"/>
    </row>
    <row r="357" spans="11:11" s="52" customFormat="1">
      <c r="K357" s="53"/>
    </row>
    <row r="358" spans="11:11" s="52" customFormat="1">
      <c r="K358" s="53"/>
    </row>
    <row r="359" spans="11:11" s="52" customFormat="1">
      <c r="K359" s="53"/>
    </row>
    <row r="360" spans="11:11" s="52" customFormat="1">
      <c r="K360" s="53"/>
    </row>
    <row r="361" spans="11:11" s="52" customFormat="1">
      <c r="K361" s="53"/>
    </row>
    <row r="362" spans="11:11" s="52" customFormat="1">
      <c r="K362" s="53"/>
    </row>
    <row r="363" spans="11:11" s="52" customFormat="1">
      <c r="K363" s="53"/>
    </row>
    <row r="364" spans="11:11" s="52" customFormat="1">
      <c r="K364" s="53"/>
    </row>
    <row r="365" spans="11:11" s="52" customFormat="1">
      <c r="K365" s="53"/>
    </row>
    <row r="366" spans="11:11" s="52" customFormat="1">
      <c r="K366" s="53"/>
    </row>
    <row r="367" spans="11:11" s="52" customFormat="1">
      <c r="K367" s="53"/>
    </row>
    <row r="368" spans="11:11" s="52" customFormat="1">
      <c r="K368" s="53"/>
    </row>
    <row r="369" spans="11:11" s="52" customFormat="1">
      <c r="K369" s="53"/>
    </row>
    <row r="370" spans="11:11" s="52" customFormat="1">
      <c r="K370" s="53"/>
    </row>
    <row r="371" spans="11:11" s="52" customFormat="1">
      <c r="K371" s="53"/>
    </row>
    <row r="372" spans="11:11" s="52" customFormat="1">
      <c r="K372" s="53"/>
    </row>
    <row r="373" spans="11:11" s="52" customFormat="1">
      <c r="K373" s="53"/>
    </row>
    <row r="374" spans="11:11" s="52" customFormat="1">
      <c r="K374" s="53"/>
    </row>
    <row r="375" spans="11:11" s="52" customFormat="1">
      <c r="K375" s="53"/>
    </row>
    <row r="376" spans="11:11" s="52" customFormat="1">
      <c r="K376" s="53"/>
    </row>
    <row r="377" spans="11:11" s="52" customFormat="1">
      <c r="K377" s="53"/>
    </row>
    <row r="378" spans="11:11" s="52" customFormat="1">
      <c r="K378" s="53"/>
    </row>
    <row r="379" spans="11:11" s="52" customFormat="1">
      <c r="K379" s="53"/>
    </row>
    <row r="380" spans="11:11" s="52" customFormat="1">
      <c r="K380" s="53"/>
    </row>
    <row r="381" spans="11:11" s="52" customFormat="1">
      <c r="K381" s="53"/>
    </row>
    <row r="382" spans="11:11" s="52" customFormat="1">
      <c r="K382" s="53"/>
    </row>
    <row r="383" spans="11:11" s="52" customFormat="1">
      <c r="K383" s="53"/>
    </row>
    <row r="384" spans="11:11" s="52" customFormat="1">
      <c r="K384" s="53"/>
    </row>
    <row r="385" spans="11:11" s="52" customFormat="1">
      <c r="K385" s="53"/>
    </row>
    <row r="386" spans="11:11" s="52" customFormat="1">
      <c r="K386" s="53"/>
    </row>
    <row r="387" spans="11:11" s="52" customFormat="1">
      <c r="K387" s="53"/>
    </row>
    <row r="388" spans="11:11" s="52" customFormat="1">
      <c r="K388" s="53"/>
    </row>
    <row r="389" spans="11:11" s="52" customFormat="1">
      <c r="K389" s="53"/>
    </row>
    <row r="390" spans="11:11" s="52" customFormat="1">
      <c r="K390" s="53"/>
    </row>
    <row r="391" spans="11:11" s="52" customFormat="1">
      <c r="K391" s="53"/>
    </row>
    <row r="392" spans="11:11" s="52" customFormat="1">
      <c r="K392" s="53"/>
    </row>
    <row r="393" spans="11:11" s="52" customFormat="1">
      <c r="K393" s="53"/>
    </row>
    <row r="394" spans="11:11" s="52" customFormat="1">
      <c r="K394" s="53"/>
    </row>
    <row r="395" spans="11:11" s="52" customFormat="1">
      <c r="K395" s="53"/>
    </row>
    <row r="396" spans="11:11" s="52" customFormat="1">
      <c r="K396" s="53"/>
    </row>
    <row r="397" spans="11:11" s="52" customFormat="1">
      <c r="K397" s="53"/>
    </row>
    <row r="398" spans="11:11" s="52" customFormat="1">
      <c r="K398" s="53"/>
    </row>
    <row r="399" spans="11:11" s="52" customFormat="1">
      <c r="K399" s="53"/>
    </row>
    <row r="400" spans="11:11" s="52" customFormat="1">
      <c r="K400" s="53"/>
    </row>
    <row r="401" spans="11:11" s="52" customFormat="1">
      <c r="K401" s="53"/>
    </row>
    <row r="402" spans="11:11" s="52" customFormat="1">
      <c r="K402" s="53"/>
    </row>
    <row r="403" spans="11:11" s="52" customFormat="1">
      <c r="K403" s="53"/>
    </row>
    <row r="404" spans="11:11" s="52" customFormat="1">
      <c r="K404" s="53"/>
    </row>
    <row r="405" spans="11:11" s="52" customFormat="1">
      <c r="K405" s="53"/>
    </row>
    <row r="406" spans="11:11" s="52" customFormat="1">
      <c r="K406" s="53"/>
    </row>
    <row r="407" spans="11:11" s="52" customFormat="1">
      <c r="K407" s="53"/>
    </row>
    <row r="408" spans="11:11" s="52" customFormat="1">
      <c r="K408" s="53"/>
    </row>
    <row r="409" spans="11:11" s="52" customFormat="1">
      <c r="K409" s="53"/>
    </row>
    <row r="410" spans="11:11" s="52" customFormat="1">
      <c r="K410" s="53"/>
    </row>
    <row r="411" spans="11:11" s="52" customFormat="1">
      <c r="K411" s="53"/>
    </row>
    <row r="412" spans="11:11" s="52" customFormat="1">
      <c r="K412" s="53"/>
    </row>
    <row r="413" spans="11:11" s="52" customFormat="1">
      <c r="K413" s="53"/>
    </row>
    <row r="414" spans="11:11" s="52" customFormat="1">
      <c r="K414" s="53"/>
    </row>
    <row r="415" spans="11:11" s="52" customFormat="1">
      <c r="K415" s="53"/>
    </row>
    <row r="416" spans="11:11" s="52" customFormat="1">
      <c r="K416" s="53"/>
    </row>
    <row r="417" spans="11:11" s="52" customFormat="1">
      <c r="K417" s="53"/>
    </row>
    <row r="418" spans="11:11" s="52" customFormat="1">
      <c r="K418" s="53"/>
    </row>
    <row r="419" spans="11:11" s="52" customFormat="1">
      <c r="K419" s="53"/>
    </row>
    <row r="420" spans="11:11" s="52" customFormat="1">
      <c r="K420" s="53"/>
    </row>
    <row r="421" spans="11:11" s="52" customFormat="1">
      <c r="K421" s="53"/>
    </row>
    <row r="422" spans="11:11" s="52" customFormat="1">
      <c r="K422" s="53"/>
    </row>
    <row r="423" spans="11:11" s="52" customFormat="1">
      <c r="K423" s="53"/>
    </row>
    <row r="424" spans="11:11" s="52" customFormat="1">
      <c r="K424" s="53"/>
    </row>
    <row r="425" spans="11:11" s="52" customFormat="1">
      <c r="K425" s="53"/>
    </row>
    <row r="426" spans="11:11" s="52" customFormat="1">
      <c r="K426" s="53"/>
    </row>
    <row r="427" spans="11:11" s="52" customFormat="1">
      <c r="K427" s="53"/>
    </row>
    <row r="428" spans="11:11" s="52" customFormat="1">
      <c r="K428" s="53"/>
    </row>
    <row r="429" spans="11:11" s="52" customFormat="1">
      <c r="K429" s="53"/>
    </row>
    <row r="430" spans="11:11" s="52" customFormat="1">
      <c r="K430" s="53"/>
    </row>
    <row r="431" spans="11:11" s="52" customFormat="1">
      <c r="K431" s="53"/>
    </row>
    <row r="432" spans="11:11" s="52" customFormat="1">
      <c r="K432" s="53"/>
    </row>
    <row r="433" spans="11:103" s="52" customFormat="1">
      <c r="K433" s="53"/>
    </row>
    <row r="434" spans="11:103" s="52" customFormat="1">
      <c r="K434" s="53"/>
    </row>
    <row r="435" spans="11:103" s="52" customFormat="1">
      <c r="K435" s="53"/>
    </row>
    <row r="436" spans="11:103" s="52" customFormat="1">
      <c r="K436" s="53"/>
    </row>
    <row r="437" spans="11:103" s="52" customFormat="1">
      <c r="K437" s="53"/>
    </row>
    <row r="438" spans="11:103" s="52" customFormat="1">
      <c r="K438" s="53"/>
    </row>
    <row r="439" spans="11:103" s="52" customFormat="1">
      <c r="K439" s="53"/>
    </row>
    <row r="440" spans="11:103" s="52" customFormat="1">
      <c r="K440" s="53"/>
    </row>
    <row r="441" spans="11:103" s="52" customFormat="1">
      <c r="K441" s="53"/>
    </row>
    <row r="442" spans="11:103" s="52" customFormat="1">
      <c r="K442" s="53"/>
    </row>
    <row r="443" spans="11:103" s="52" customFormat="1">
      <c r="K443" s="53"/>
    </row>
    <row r="444" spans="11:103" s="52" customFormat="1">
      <c r="K444" s="53"/>
    </row>
    <row r="445" spans="11:103" s="52" customFormat="1">
      <c r="K445" s="53"/>
    </row>
    <row r="446" spans="11:103" s="52" customFormat="1">
      <c r="K446" s="53"/>
    </row>
    <row r="447" spans="11:103" s="52" customFormat="1">
      <c r="K447" s="53"/>
    </row>
    <row r="448" spans="11:103" s="52" customFormat="1">
      <c r="K448" s="53"/>
      <c r="CX448" s="58"/>
      <c r="CY448" s="58"/>
    </row>
  </sheetData>
  <sheetProtection algorithmName="SHA-512" hashValue="ALXL5e9Ktm5hueSXzK3YIyDGvR6FM/oDJnramcMGp2nrBzOuWZzEzOP70B3NSdWS+ZZpqowdQvCnPQ4xqgIjPA==" saltValue="dwAEP01HtIW/+UfSdwUeYg==" spinCount="100000" sheet="1" formatCells="0" formatColumns="0" formatRows="0"/>
  <mergeCells count="11">
    <mergeCell ref="B208:J208"/>
    <mergeCell ref="B209:J209"/>
    <mergeCell ref="B210:J210"/>
    <mergeCell ref="B2:D2"/>
    <mergeCell ref="B5:F5"/>
    <mergeCell ref="B11:G11"/>
    <mergeCell ref="B12:G12"/>
    <mergeCell ref="B142:C142"/>
    <mergeCell ref="B18:I18"/>
    <mergeCell ref="B26:I26"/>
    <mergeCell ref="B28:I28"/>
  </mergeCells>
  <dataValidations count="1">
    <dataValidation type="list" allowBlank="1" showInputMessage="1" showErrorMessage="1" sqref="F42" xr:uid="{55BB202E-B288-4543-9F47-66D9308A9CB1}">
      <formula1>Select_units</formula1>
    </dataValidation>
  </dataValidations>
  <hyperlinks>
    <hyperlink ref="B8" location="'PT 3 - vet hyg footwear'!Input" display="Input table" xr:uid="{86185223-D315-45B2-B345-7BA6493DBC5D}"/>
    <hyperlink ref="B9" location="'PT 3 - vet hyg footwear'!Intermediate_calculations" display="Intermediate calculations" xr:uid="{07448BC9-77F7-4AA8-BF77-C191EFE8807D}"/>
    <hyperlink ref="B10" location="'PT 3 - vet hyg footwear'!Output" display="Output table" xr:uid="{7ABED5A3-C305-4DE8-9BDA-DF437F7FE35F}"/>
    <hyperlink ref="B11:G11" location="'PT 3 - vet hyg footwear'!Soil___arable_land" display="    Soil - arable land" xr:uid="{44E62903-E679-40F7-AD91-5A2824125408}"/>
    <hyperlink ref="B12:G12" location="'PT 3 - vet hyg footwear'!Soil___grassland" display="    Soil - grassland" xr:uid="{36F5C06D-64A5-4641-BB5F-D0ADDD4ED1C7}"/>
    <hyperlink ref="B13" location="'PT 3 - vet hyg footwear'!Groundwater_and_surface_water_ar" display="    Groundwater and surface water - in arable land areas" xr:uid="{C1A49B40-788F-4A1E-8806-04B33B35DFFB}"/>
    <hyperlink ref="B14" location="'PT 3 - vet hyg footwear'!Groundwater_and_surface_water_gr" display="    Groundwater and surface water - in grassland areas" xr:uid="{7C839ADC-9518-47A4-8862-01209220AF24}"/>
    <hyperlink ref="B15" location="'PT 3 - vet hyg footwear'!STP" display="    STP" xr:uid="{54EE4F7A-F9AC-4820-87C5-A9FAD19910D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3DC2C-591D-4B0B-AF90-FD485C94843B}">
  <dimension ref="A1:BI255"/>
  <sheetViews>
    <sheetView workbookViewId="0"/>
  </sheetViews>
  <sheetFormatPr defaultColWidth="8.7265625" defaultRowHeight="12.6"/>
  <cols>
    <col min="1" max="1" width="1.6328125" style="190" customWidth="1"/>
    <col min="2" max="2" width="30.6328125" customWidth="1"/>
    <col min="3" max="3" width="40.6328125" customWidth="1"/>
    <col min="4" max="4" width="3.6328125" customWidth="1"/>
    <col min="5" max="5" width="15.6328125" customWidth="1"/>
    <col min="6" max="6" width="3.6328125" customWidth="1"/>
    <col min="7" max="7" width="25.6328125" customWidth="1"/>
    <col min="8" max="9" width="10.6328125" customWidth="1"/>
    <col min="10" max="10" width="60.6328125" style="259" customWidth="1"/>
    <col min="11" max="12" width="15.6328125" style="190" customWidth="1"/>
    <col min="13" max="61" width="8.7265625" style="190"/>
  </cols>
  <sheetData>
    <row r="1" spans="1:61">
      <c r="B1" s="190"/>
      <c r="C1" s="190"/>
      <c r="D1" s="190"/>
      <c r="E1" s="190"/>
      <c r="F1" s="190"/>
      <c r="G1" s="190"/>
      <c r="H1" s="190"/>
      <c r="I1" s="190"/>
      <c r="J1" s="191"/>
    </row>
    <row r="2" spans="1:61" ht="20.399999999999999">
      <c r="B2" s="193" t="s">
        <v>191</v>
      </c>
      <c r="C2" s="261"/>
      <c r="D2" s="261"/>
      <c r="E2" s="190"/>
      <c r="F2" s="190"/>
      <c r="G2" s="190"/>
      <c r="H2" s="190"/>
      <c r="I2" s="190"/>
      <c r="J2" s="191"/>
    </row>
    <row r="3" spans="1:61" ht="13.2">
      <c r="B3" s="195"/>
      <c r="C3" s="195"/>
      <c r="D3" s="195"/>
      <c r="E3" s="190"/>
      <c r="F3" s="190"/>
      <c r="G3" s="190"/>
      <c r="H3" s="190"/>
      <c r="I3" s="190"/>
      <c r="J3" s="191"/>
    </row>
    <row r="4" spans="1:61" ht="16.2">
      <c r="B4" s="197"/>
      <c r="C4" s="197"/>
      <c r="D4" s="197"/>
      <c r="E4" s="190"/>
      <c r="F4" s="190"/>
      <c r="G4" s="190"/>
      <c r="H4" s="190"/>
      <c r="I4" s="190"/>
      <c r="J4" s="191"/>
    </row>
    <row r="5" spans="1:61" ht="17.399999999999999">
      <c r="B5" s="199" t="s">
        <v>346</v>
      </c>
      <c r="C5" s="262"/>
      <c r="D5" s="262"/>
      <c r="E5" s="202"/>
      <c r="F5" s="202"/>
      <c r="G5" s="202"/>
      <c r="H5" s="202"/>
      <c r="I5" s="203"/>
      <c r="J5" s="203"/>
    </row>
    <row r="6" spans="1:61" s="204" customFormat="1"/>
    <row r="7" spans="1:61" s="204" customFormat="1"/>
    <row r="8" spans="1:61" s="207" customFormat="1" ht="13.8">
      <c r="A8" s="204"/>
      <c r="B8" s="205" t="s">
        <v>192</v>
      </c>
      <c r="C8" s="206"/>
      <c r="D8" s="206"/>
      <c r="E8" s="206"/>
      <c r="F8" s="206"/>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row>
    <row r="9" spans="1:61" s="190" customFormat="1" ht="28.5" customHeight="1">
      <c r="B9" s="509" t="s">
        <v>124</v>
      </c>
      <c r="C9" s="509"/>
      <c r="D9" s="509"/>
      <c r="E9" s="509"/>
      <c r="F9" s="509"/>
      <c r="G9" s="509"/>
      <c r="H9" s="509"/>
      <c r="I9" s="509"/>
      <c r="J9" s="509"/>
      <c r="K9" s="263"/>
    </row>
    <row r="10" spans="1:61">
      <c r="B10" s="190"/>
      <c r="C10" s="190"/>
      <c r="D10" s="190"/>
      <c r="E10" s="190"/>
      <c r="F10" s="190"/>
      <c r="G10" s="190"/>
      <c r="H10" s="190"/>
      <c r="I10" s="190"/>
      <c r="J10" s="190"/>
      <c r="AU10"/>
      <c r="AV10"/>
      <c r="AW10"/>
      <c r="AX10"/>
      <c r="AY10"/>
      <c r="AZ10"/>
      <c r="BA10"/>
      <c r="BB10"/>
      <c r="BC10"/>
      <c r="BD10"/>
      <c r="BE10"/>
      <c r="BF10"/>
      <c r="BG10"/>
      <c r="BH10"/>
      <c r="BI10"/>
    </row>
    <row r="11" spans="1:61" s="190" customFormat="1">
      <c r="B11" s="211" t="s">
        <v>224</v>
      </c>
      <c r="C11" s="264"/>
      <c r="D11" s="264"/>
      <c r="J11" s="191"/>
    </row>
    <row r="12" spans="1:61" s="190" customFormat="1">
      <c r="B12" s="204" t="s">
        <v>575</v>
      </c>
      <c r="C12" s="265"/>
      <c r="D12" s="265"/>
      <c r="J12" s="191"/>
    </row>
    <row r="13" spans="1:61" s="190" customFormat="1" ht="27.75" customHeight="1">
      <c r="B13" s="515" t="s">
        <v>596</v>
      </c>
      <c r="C13" s="515"/>
      <c r="D13" s="515"/>
      <c r="E13" s="515"/>
      <c r="F13" s="515"/>
      <c r="G13" s="515"/>
      <c r="H13" s="515"/>
      <c r="I13" s="515"/>
      <c r="J13" s="515"/>
    </row>
    <row r="14" spans="1:61" s="190" customFormat="1" ht="15">
      <c r="B14" s="204" t="s">
        <v>597</v>
      </c>
      <c r="C14" s="265"/>
      <c r="D14" s="265"/>
      <c r="J14" s="191"/>
    </row>
    <row r="15" spans="1:61" s="190" customFormat="1">
      <c r="B15" s="204" t="s">
        <v>576</v>
      </c>
      <c r="C15" s="265"/>
      <c r="D15" s="265"/>
      <c r="J15" s="191"/>
    </row>
    <row r="16" spans="1:61" s="190" customFormat="1">
      <c r="J16" s="191"/>
    </row>
    <row r="17" spans="2:12" s="190" customFormat="1" ht="16.2">
      <c r="B17" s="212" t="s">
        <v>0</v>
      </c>
      <c r="C17" s="212"/>
      <c r="D17" s="212"/>
      <c r="E17" s="215"/>
      <c r="F17" s="215"/>
      <c r="G17" s="215"/>
      <c r="H17" s="215"/>
      <c r="I17" s="215"/>
      <c r="J17" s="216"/>
    </row>
    <row r="18" spans="2:12" s="190" customFormat="1">
      <c r="B18" s="217"/>
      <c r="C18" s="217"/>
      <c r="D18" s="217"/>
      <c r="E18" s="217"/>
      <c r="F18" s="217"/>
      <c r="G18" s="217"/>
      <c r="H18" s="217"/>
      <c r="I18" s="217"/>
      <c r="J18" s="218"/>
    </row>
    <row r="19" spans="2:12" s="190" customFormat="1" ht="13.8">
      <c r="B19" s="220" t="s">
        <v>2</v>
      </c>
      <c r="C19" s="220"/>
      <c r="D19" s="220"/>
      <c r="E19" s="221" t="s">
        <v>4</v>
      </c>
      <c r="F19" s="221"/>
      <c r="G19" s="223" t="s">
        <v>7</v>
      </c>
      <c r="H19" s="223" t="s">
        <v>3</v>
      </c>
      <c r="I19" s="223" t="s">
        <v>11</v>
      </c>
      <c r="J19" s="221" t="s">
        <v>9</v>
      </c>
    </row>
    <row r="20" spans="2:12" s="190" customFormat="1">
      <c r="B20" s="220"/>
      <c r="C20" s="220"/>
      <c r="D20" s="220"/>
      <c r="E20" s="221"/>
      <c r="F20" s="221"/>
      <c r="G20" s="223"/>
      <c r="H20" s="223"/>
      <c r="I20" s="223"/>
      <c r="J20" s="221"/>
    </row>
    <row r="21" spans="2:12" s="190" customFormat="1">
      <c r="B21" s="266" t="s">
        <v>556</v>
      </c>
      <c r="C21" s="220"/>
      <c r="D21" s="220"/>
      <c r="E21" s="221"/>
      <c r="F21" s="221"/>
      <c r="G21" s="223"/>
      <c r="H21" s="223"/>
      <c r="I21" s="223"/>
      <c r="J21" s="221"/>
    </row>
    <row r="22" spans="2:12" s="190" customFormat="1" ht="3" customHeight="1" thickBot="1">
      <c r="B22" s="220"/>
      <c r="C22" s="220"/>
      <c r="D22" s="220"/>
      <c r="E22" s="221"/>
      <c r="F22" s="221"/>
      <c r="G22" s="223"/>
      <c r="H22" s="223"/>
      <c r="I22" s="223"/>
      <c r="J22" s="221"/>
    </row>
    <row r="23" spans="2:12" s="190" customFormat="1" ht="16.8" thickTop="1" thickBot="1">
      <c r="B23" s="467" t="s">
        <v>560</v>
      </c>
      <c r="C23" s="220"/>
      <c r="D23" s="220"/>
      <c r="E23" s="228" t="s">
        <v>5</v>
      </c>
      <c r="F23" s="221"/>
      <c r="G23" s="519" t="s">
        <v>557</v>
      </c>
      <c r="H23" s="227" t="s">
        <v>5</v>
      </c>
      <c r="I23" s="227" t="s">
        <v>225</v>
      </c>
      <c r="J23" s="228" t="s">
        <v>590</v>
      </c>
    </row>
    <row r="24" spans="2:12" s="190" customFormat="1" ht="3" customHeight="1" thickTop="1" thickBot="1">
      <c r="B24" s="220"/>
      <c r="C24" s="220"/>
      <c r="D24" s="220"/>
      <c r="E24" s="221"/>
      <c r="F24" s="221"/>
      <c r="G24" s="223"/>
      <c r="H24" s="223"/>
      <c r="I24" s="223"/>
      <c r="J24" s="221"/>
    </row>
    <row r="25" spans="2:12" s="190" customFormat="1" ht="16.8" thickTop="1" thickBot="1">
      <c r="B25" s="510" t="s">
        <v>562</v>
      </c>
      <c r="C25" s="510"/>
      <c r="D25" s="469"/>
      <c r="E25" s="228" t="s">
        <v>5</v>
      </c>
      <c r="F25" s="221"/>
      <c r="G25" s="519" t="s">
        <v>564</v>
      </c>
      <c r="H25" s="227" t="s">
        <v>5</v>
      </c>
      <c r="I25" s="227" t="s">
        <v>225</v>
      </c>
      <c r="J25" s="228" t="s">
        <v>226</v>
      </c>
    </row>
    <row r="26" spans="2:12" s="190" customFormat="1" ht="3" customHeight="1" thickTop="1">
      <c r="B26" s="224"/>
      <c r="C26" s="224"/>
      <c r="D26" s="224"/>
      <c r="E26" s="217"/>
      <c r="F26" s="217"/>
      <c r="G26" s="217"/>
      <c r="H26" s="217"/>
      <c r="I26" s="217"/>
      <c r="J26" s="218"/>
    </row>
    <row r="27" spans="2:12" s="1" customFormat="1" ht="37.799999999999997">
      <c r="B27" s="510" t="s">
        <v>227</v>
      </c>
      <c r="C27" s="510"/>
      <c r="D27" s="469"/>
      <c r="E27" s="228" t="s">
        <v>228</v>
      </c>
      <c r="F27" s="228"/>
      <c r="G27" s="95"/>
      <c r="H27" s="227" t="s">
        <v>229</v>
      </c>
      <c r="I27" s="227" t="s">
        <v>13</v>
      </c>
      <c r="J27" s="481" t="s">
        <v>595</v>
      </c>
      <c r="L27" s="39"/>
    </row>
    <row r="28" spans="2:12" s="190" customFormat="1">
      <c r="B28" s="220"/>
      <c r="C28" s="220"/>
      <c r="D28" s="220"/>
      <c r="E28" s="221"/>
      <c r="F28" s="221"/>
      <c r="G28" s="223"/>
      <c r="H28" s="223"/>
      <c r="I28" s="223"/>
      <c r="J28" s="221"/>
    </row>
    <row r="29" spans="2:12" s="190" customFormat="1">
      <c r="B29" s="220"/>
      <c r="C29" s="220"/>
      <c r="D29" s="220"/>
      <c r="E29" s="221"/>
      <c r="F29" s="221"/>
      <c r="G29" s="223"/>
      <c r="H29" s="223"/>
      <c r="I29" s="223"/>
      <c r="J29" s="221"/>
    </row>
    <row r="30" spans="2:12" s="190" customFormat="1">
      <c r="B30" s="476" t="s">
        <v>561</v>
      </c>
      <c r="C30" s="220"/>
      <c r="D30" s="220"/>
      <c r="E30" s="221"/>
      <c r="F30" s="221"/>
      <c r="G30" s="223"/>
      <c r="H30" s="223"/>
      <c r="I30" s="223"/>
      <c r="J30" s="221"/>
    </row>
    <row r="31" spans="2:12" s="190" customFormat="1" ht="3" customHeight="1" thickBot="1">
      <c r="B31" s="220"/>
      <c r="C31" s="220"/>
      <c r="D31" s="220"/>
      <c r="E31" s="221"/>
      <c r="F31" s="221"/>
      <c r="G31" s="223"/>
      <c r="H31" s="223"/>
      <c r="I31" s="223"/>
      <c r="J31" s="221"/>
    </row>
    <row r="32" spans="2:12" s="190" customFormat="1" ht="16.8" thickTop="1" thickBot="1">
      <c r="B32" s="467" t="s">
        <v>560</v>
      </c>
      <c r="C32" s="220"/>
      <c r="D32" s="220"/>
      <c r="E32" s="228" t="s">
        <v>5</v>
      </c>
      <c r="F32" s="221"/>
      <c r="G32" s="519" t="s">
        <v>557</v>
      </c>
      <c r="H32" s="227" t="s">
        <v>5</v>
      </c>
      <c r="I32" s="227" t="s">
        <v>225</v>
      </c>
      <c r="J32" s="228" t="s">
        <v>590</v>
      </c>
    </row>
    <row r="33" spans="2:12" s="190" customFormat="1" ht="3" customHeight="1" thickTop="1" thickBot="1">
      <c r="B33" s="220"/>
      <c r="C33" s="220"/>
      <c r="D33" s="220"/>
      <c r="E33" s="221"/>
      <c r="F33" s="221"/>
      <c r="G33" s="223"/>
      <c r="H33" s="223"/>
      <c r="I33" s="223"/>
      <c r="J33" s="221"/>
    </row>
    <row r="34" spans="2:12" s="190" customFormat="1" ht="24" customHeight="1" thickTop="1" thickBot="1">
      <c r="B34" s="510" t="s">
        <v>563</v>
      </c>
      <c r="C34" s="510"/>
      <c r="D34" s="469"/>
      <c r="E34" s="228" t="s">
        <v>5</v>
      </c>
      <c r="F34" s="221"/>
      <c r="G34" s="519" t="s">
        <v>564</v>
      </c>
      <c r="H34" s="227" t="s">
        <v>5</v>
      </c>
      <c r="I34" s="227" t="s">
        <v>225</v>
      </c>
      <c r="J34" s="228" t="s">
        <v>226</v>
      </c>
    </row>
    <row r="35" spans="2:12" s="190" customFormat="1" ht="3" customHeight="1" thickTop="1">
      <c r="B35" s="224"/>
      <c r="C35" s="224"/>
      <c r="D35" s="224"/>
      <c r="E35" s="217"/>
      <c r="F35" s="217"/>
      <c r="G35" s="217"/>
      <c r="H35" s="217"/>
      <c r="I35" s="217"/>
      <c r="J35" s="218"/>
    </row>
    <row r="36" spans="2:12" s="1" customFormat="1" ht="37.799999999999997">
      <c r="B36" s="510" t="s">
        <v>227</v>
      </c>
      <c r="C36" s="510"/>
      <c r="D36" s="469"/>
      <c r="E36" s="228" t="s">
        <v>228</v>
      </c>
      <c r="F36" s="228"/>
      <c r="G36" s="95"/>
      <c r="H36" s="227" t="s">
        <v>229</v>
      </c>
      <c r="I36" s="227" t="s">
        <v>13</v>
      </c>
      <c r="J36" s="481" t="s">
        <v>614</v>
      </c>
      <c r="L36" s="39"/>
    </row>
    <row r="37" spans="2:12" s="1" customFormat="1">
      <c r="B37" s="229"/>
      <c r="C37" s="229"/>
      <c r="D37" s="229"/>
      <c r="E37" s="228"/>
      <c r="F37" s="228"/>
      <c r="G37" s="227"/>
      <c r="H37" s="227"/>
      <c r="I37" s="227"/>
      <c r="J37" s="228"/>
    </row>
    <row r="38" spans="2:12" s="1" customFormat="1">
      <c r="B38" s="266" t="s">
        <v>230</v>
      </c>
      <c r="C38" s="229"/>
      <c r="D38" s="229"/>
      <c r="E38" s="228"/>
      <c r="F38" s="228"/>
      <c r="G38" s="227"/>
      <c r="H38" s="227"/>
      <c r="I38" s="267"/>
      <c r="J38" s="228"/>
    </row>
    <row r="39" spans="2:12" s="1" customFormat="1">
      <c r="B39" s="268" t="s">
        <v>231</v>
      </c>
      <c r="C39" s="269"/>
      <c r="D39" s="269"/>
      <c r="E39" s="270"/>
      <c r="F39" s="270"/>
      <c r="G39" s="271"/>
      <c r="H39" s="271"/>
      <c r="I39" s="271"/>
      <c r="J39" s="270"/>
    </row>
    <row r="40" spans="2:12" s="1" customFormat="1" ht="3" customHeight="1">
      <c r="B40" s="229"/>
      <c r="C40" s="229"/>
      <c r="D40" s="229"/>
      <c r="E40" s="228"/>
      <c r="F40" s="228"/>
      <c r="G40" s="227"/>
      <c r="H40" s="227"/>
      <c r="I40" s="227"/>
      <c r="J40" s="228"/>
    </row>
    <row r="41" spans="2:12" s="1" customFormat="1" ht="15">
      <c r="B41" s="229" t="s">
        <v>232</v>
      </c>
      <c r="C41" s="229"/>
      <c r="D41" s="229"/>
      <c r="E41" s="228" t="s">
        <v>233</v>
      </c>
      <c r="F41" s="228"/>
      <c r="G41" s="227">
        <v>49</v>
      </c>
      <c r="H41" s="227" t="s">
        <v>234</v>
      </c>
      <c r="I41" s="227" t="s">
        <v>13</v>
      </c>
      <c r="J41" s="228"/>
    </row>
    <row r="42" spans="2:12" s="1" customFormat="1" ht="3" customHeight="1">
      <c r="B42" s="229"/>
      <c r="C42" s="229"/>
      <c r="D42" s="229"/>
      <c r="E42" s="228"/>
      <c r="F42" s="228"/>
      <c r="G42" s="227"/>
      <c r="H42" s="227"/>
      <c r="I42" s="227"/>
      <c r="J42" s="228"/>
    </row>
    <row r="43" spans="2:12" s="1" customFormat="1" ht="15">
      <c r="B43" s="229" t="s">
        <v>235</v>
      </c>
      <c r="C43" s="229"/>
      <c r="D43" s="229"/>
      <c r="E43" s="228" t="s">
        <v>236</v>
      </c>
      <c r="F43" s="228"/>
      <c r="G43" s="227">
        <v>1</v>
      </c>
      <c r="H43" s="227" t="s">
        <v>5</v>
      </c>
      <c r="I43" s="227" t="s">
        <v>13</v>
      </c>
      <c r="J43" s="228"/>
    </row>
    <row r="44" spans="2:12" s="1" customFormat="1" ht="3" customHeight="1">
      <c r="B44" s="229"/>
      <c r="C44" s="229"/>
      <c r="D44" s="229"/>
      <c r="E44" s="228"/>
      <c r="F44" s="228"/>
      <c r="G44" s="227"/>
      <c r="H44" s="227"/>
      <c r="I44" s="227"/>
      <c r="J44" s="228"/>
    </row>
    <row r="45" spans="2:12" s="1" customFormat="1" ht="15">
      <c r="B45" s="229" t="s">
        <v>237</v>
      </c>
      <c r="C45" s="229"/>
      <c r="D45" s="229"/>
      <c r="E45" s="228" t="s">
        <v>238</v>
      </c>
      <c r="F45" s="228"/>
      <c r="G45" s="227">
        <v>7</v>
      </c>
      <c r="H45" s="227" t="s">
        <v>239</v>
      </c>
      <c r="I45" s="227" t="s">
        <v>13</v>
      </c>
      <c r="J45" s="228"/>
    </row>
    <row r="46" spans="2:12" s="1" customFormat="1" ht="3" customHeight="1">
      <c r="B46" s="272"/>
      <c r="C46" s="272"/>
      <c r="D46" s="272"/>
      <c r="E46" s="273"/>
      <c r="F46" s="273"/>
      <c r="G46" s="274"/>
      <c r="H46" s="274"/>
      <c r="I46" s="274"/>
      <c r="J46" s="273"/>
    </row>
    <row r="47" spans="2:12" s="1" customFormat="1">
      <c r="B47" s="275" t="s">
        <v>240</v>
      </c>
      <c r="C47" s="229"/>
      <c r="D47" s="229"/>
      <c r="E47" s="228"/>
      <c r="F47" s="228"/>
      <c r="G47" s="227"/>
      <c r="H47" s="227"/>
      <c r="I47" s="227"/>
      <c r="J47" s="228"/>
    </row>
    <row r="48" spans="2:12" s="1" customFormat="1" ht="3" customHeight="1">
      <c r="B48" s="229"/>
      <c r="C48" s="229"/>
      <c r="D48" s="229"/>
      <c r="E48" s="228"/>
      <c r="F48" s="228"/>
      <c r="G48" s="227"/>
      <c r="H48" s="227"/>
      <c r="I48" s="227"/>
      <c r="J48" s="228"/>
    </row>
    <row r="49" spans="2:10" s="1" customFormat="1" ht="15">
      <c r="B49" s="229" t="s">
        <v>241</v>
      </c>
      <c r="C49" s="229"/>
      <c r="D49" s="229"/>
      <c r="E49" s="228" t="s">
        <v>242</v>
      </c>
      <c r="F49" s="228"/>
      <c r="G49" s="227">
        <v>9.73</v>
      </c>
      <c r="H49" s="227" t="s">
        <v>234</v>
      </c>
      <c r="I49" s="227" t="s">
        <v>13</v>
      </c>
      <c r="J49" s="228"/>
    </row>
    <row r="50" spans="2:10" s="1" customFormat="1" ht="3" customHeight="1">
      <c r="B50" s="229"/>
      <c r="C50" s="229"/>
      <c r="D50" s="229"/>
      <c r="E50" s="228"/>
      <c r="F50" s="228"/>
      <c r="G50" s="227"/>
      <c r="H50" s="227"/>
      <c r="I50" s="227"/>
      <c r="J50" s="228"/>
    </row>
    <row r="51" spans="2:10" s="1" customFormat="1" ht="15">
      <c r="B51" s="229" t="s">
        <v>243</v>
      </c>
      <c r="C51" s="229"/>
      <c r="D51" s="229"/>
      <c r="E51" s="228" t="s">
        <v>244</v>
      </c>
      <c r="F51" s="228"/>
      <c r="G51" s="227">
        <v>27</v>
      </c>
      <c r="H51" s="227" t="s">
        <v>5</v>
      </c>
      <c r="I51" s="227" t="s">
        <v>13</v>
      </c>
      <c r="J51" s="228"/>
    </row>
    <row r="52" spans="2:10" s="1" customFormat="1" ht="3" customHeight="1">
      <c r="B52" s="229"/>
      <c r="C52" s="229"/>
      <c r="D52" s="229"/>
      <c r="E52" s="228"/>
      <c r="F52" s="228"/>
      <c r="G52" s="227"/>
      <c r="H52" s="227"/>
      <c r="I52" s="227"/>
      <c r="J52" s="228"/>
    </row>
    <row r="53" spans="2:10" s="1" customFormat="1" ht="15">
      <c r="B53" s="229" t="s">
        <v>237</v>
      </c>
      <c r="C53" s="229"/>
      <c r="D53" s="229"/>
      <c r="E53" s="228" t="s">
        <v>245</v>
      </c>
      <c r="F53" s="228"/>
      <c r="G53" s="227">
        <v>0.56999999999999995</v>
      </c>
      <c r="H53" s="227" t="s">
        <v>239</v>
      </c>
      <c r="I53" s="227" t="s">
        <v>13</v>
      </c>
      <c r="J53" s="228"/>
    </row>
    <row r="54" spans="2:10" s="1" customFormat="1" ht="3" customHeight="1">
      <c r="B54" s="229"/>
      <c r="C54" s="229"/>
      <c r="D54" s="229"/>
      <c r="E54" s="228"/>
      <c r="F54" s="228"/>
      <c r="G54" s="227"/>
      <c r="H54" s="227"/>
      <c r="I54" s="227"/>
      <c r="J54" s="228"/>
    </row>
    <row r="55" spans="2:10" s="1" customFormat="1">
      <c r="B55" s="268" t="s">
        <v>246</v>
      </c>
      <c r="C55" s="269"/>
      <c r="D55" s="269"/>
      <c r="E55" s="270"/>
      <c r="F55" s="270"/>
      <c r="G55" s="271"/>
      <c r="H55" s="271"/>
      <c r="I55" s="271"/>
      <c r="J55" s="270"/>
    </row>
    <row r="56" spans="2:10" s="1" customFormat="1" ht="3" customHeight="1">
      <c r="B56" s="229"/>
      <c r="C56" s="229"/>
      <c r="D56" s="229"/>
      <c r="E56" s="228"/>
      <c r="F56" s="228"/>
      <c r="G56" s="227"/>
      <c r="H56" s="227"/>
      <c r="I56" s="227"/>
      <c r="J56" s="228"/>
    </row>
    <row r="57" spans="2:10" s="1" customFormat="1" ht="15">
      <c r="B57" s="229" t="s">
        <v>247</v>
      </c>
      <c r="C57" s="229"/>
      <c r="D57" s="229"/>
      <c r="E57" s="228" t="s">
        <v>248</v>
      </c>
      <c r="F57" s="228"/>
      <c r="G57" s="227">
        <v>9.73</v>
      </c>
      <c r="H57" s="227" t="s">
        <v>234</v>
      </c>
      <c r="I57" s="227" t="s">
        <v>13</v>
      </c>
      <c r="J57" s="228"/>
    </row>
    <row r="58" spans="2:10" s="1" customFormat="1" ht="3" customHeight="1">
      <c r="B58" s="229"/>
      <c r="C58" s="229"/>
      <c r="D58" s="229"/>
      <c r="E58" s="228"/>
      <c r="F58" s="228"/>
      <c r="G58" s="227"/>
      <c r="H58" s="227"/>
      <c r="I58" s="227"/>
      <c r="J58" s="228"/>
    </row>
    <row r="59" spans="2:10" s="1" customFormat="1" ht="15">
      <c r="B59" s="229" t="s">
        <v>249</v>
      </c>
      <c r="C59" s="229"/>
      <c r="D59" s="229"/>
      <c r="E59" s="228" t="s">
        <v>250</v>
      </c>
      <c r="F59" s="228"/>
      <c r="G59" s="227">
        <v>162</v>
      </c>
      <c r="H59" s="227" t="s">
        <v>5</v>
      </c>
      <c r="I59" s="227" t="s">
        <v>13</v>
      </c>
      <c r="J59" s="228"/>
    </row>
    <row r="60" spans="2:10" s="1" customFormat="1" ht="3" customHeight="1">
      <c r="B60" s="229"/>
      <c r="C60" s="229"/>
      <c r="D60" s="229"/>
      <c r="E60" s="228"/>
      <c r="F60" s="228"/>
      <c r="G60" s="227"/>
      <c r="H60" s="227"/>
      <c r="I60" s="227"/>
      <c r="J60" s="228"/>
    </row>
    <row r="61" spans="2:10" s="1" customFormat="1" ht="25.2">
      <c r="B61" s="229" t="s">
        <v>251</v>
      </c>
      <c r="C61" s="229"/>
      <c r="D61" s="229"/>
      <c r="E61" s="228" t="s">
        <v>252</v>
      </c>
      <c r="F61" s="228"/>
      <c r="G61" s="227">
        <v>0.06</v>
      </c>
      <c r="H61" s="227" t="s">
        <v>239</v>
      </c>
      <c r="I61" s="227" t="s">
        <v>13</v>
      </c>
      <c r="J61" s="228"/>
    </row>
    <row r="62" spans="2:10" s="1" customFormat="1" ht="3" customHeight="1">
      <c r="B62" s="229"/>
      <c r="C62" s="229"/>
      <c r="D62" s="229"/>
      <c r="E62" s="228"/>
      <c r="F62" s="228"/>
      <c r="G62" s="227"/>
      <c r="H62" s="227"/>
      <c r="I62" s="227"/>
      <c r="J62" s="228"/>
    </row>
    <row r="63" spans="2:10" s="1" customFormat="1" ht="15">
      <c r="B63" s="229" t="s">
        <v>241</v>
      </c>
      <c r="C63" s="229"/>
      <c r="D63" s="229"/>
      <c r="E63" s="228" t="s">
        <v>242</v>
      </c>
      <c r="F63" s="228"/>
      <c r="G63" s="227">
        <v>9.73</v>
      </c>
      <c r="H63" s="227" t="s">
        <v>234</v>
      </c>
      <c r="I63" s="227" t="s">
        <v>13</v>
      </c>
      <c r="J63" s="228"/>
    </row>
    <row r="64" spans="2:10" s="1" customFormat="1" ht="3" customHeight="1">
      <c r="B64" s="229"/>
      <c r="C64" s="229"/>
      <c r="D64" s="229"/>
      <c r="E64" s="228"/>
      <c r="F64" s="228"/>
      <c r="G64" s="227"/>
      <c r="H64" s="227"/>
      <c r="I64" s="227"/>
      <c r="J64" s="228"/>
    </row>
    <row r="65" spans="2:10" s="1" customFormat="1" ht="15">
      <c r="B65" s="229" t="s">
        <v>243</v>
      </c>
      <c r="C65" s="229"/>
      <c r="D65" s="229"/>
      <c r="E65" s="228" t="s">
        <v>244</v>
      </c>
      <c r="F65" s="228"/>
      <c r="G65" s="227">
        <v>27</v>
      </c>
      <c r="H65" s="227" t="s">
        <v>5</v>
      </c>
      <c r="I65" s="227" t="s">
        <v>13</v>
      </c>
      <c r="J65" s="228"/>
    </row>
    <row r="66" spans="2:10" s="1" customFormat="1" ht="3" customHeight="1">
      <c r="B66" s="229"/>
      <c r="C66" s="229"/>
      <c r="D66" s="229"/>
      <c r="E66" s="228"/>
      <c r="F66" s="228"/>
      <c r="G66" s="227"/>
      <c r="H66" s="227"/>
      <c r="I66" s="227"/>
      <c r="J66" s="228"/>
    </row>
    <row r="67" spans="2:10" s="1" customFormat="1" ht="15">
      <c r="B67" s="229" t="s">
        <v>237</v>
      </c>
      <c r="C67" s="229"/>
      <c r="D67" s="229"/>
      <c r="E67" s="228" t="s">
        <v>245</v>
      </c>
      <c r="F67" s="228"/>
      <c r="G67" s="227">
        <v>0.56999999999999995</v>
      </c>
      <c r="H67" s="227" t="s">
        <v>239</v>
      </c>
      <c r="I67" s="227" t="s">
        <v>13</v>
      </c>
      <c r="J67" s="228"/>
    </row>
    <row r="68" spans="2:10" s="1" customFormat="1" ht="3" customHeight="1">
      <c r="B68" s="272"/>
      <c r="C68" s="272"/>
      <c r="D68" s="272"/>
      <c r="E68" s="273"/>
      <c r="F68" s="273"/>
      <c r="G68" s="274"/>
      <c r="H68" s="274"/>
      <c r="I68" s="274"/>
      <c r="J68" s="273"/>
    </row>
    <row r="69" spans="2:10" s="1" customFormat="1">
      <c r="B69" s="229"/>
      <c r="C69" s="229"/>
      <c r="D69" s="229"/>
      <c r="E69" s="228"/>
      <c r="F69" s="228"/>
      <c r="G69" s="227"/>
      <c r="H69" s="227"/>
      <c r="I69" s="227"/>
      <c r="J69" s="228"/>
    </row>
    <row r="70" spans="2:10" s="1" customFormat="1" ht="15">
      <c r="B70" s="233" t="s">
        <v>253</v>
      </c>
      <c r="C70" s="229"/>
      <c r="D70" s="229"/>
      <c r="E70" s="228" t="s">
        <v>254</v>
      </c>
      <c r="F70" s="228"/>
      <c r="G70" s="227">
        <v>0.98</v>
      </c>
      <c r="H70" s="227" t="s">
        <v>5</v>
      </c>
      <c r="I70" s="227" t="s">
        <v>13</v>
      </c>
      <c r="J70" s="228"/>
    </row>
    <row r="71" spans="2:10" s="1" customFormat="1" ht="3" customHeight="1">
      <c r="B71" s="233"/>
      <c r="C71" s="229"/>
      <c r="D71" s="229"/>
      <c r="E71" s="228"/>
      <c r="F71" s="228"/>
      <c r="G71" s="227"/>
      <c r="H71" s="227"/>
      <c r="I71" s="227"/>
      <c r="J71" s="228"/>
    </row>
    <row r="72" spans="2:10" s="1" customFormat="1" ht="15">
      <c r="B72" s="233" t="s">
        <v>565</v>
      </c>
      <c r="C72" s="229"/>
      <c r="D72" s="229"/>
      <c r="E72" s="228" t="s">
        <v>255</v>
      </c>
      <c r="F72" s="228"/>
      <c r="G72" s="251">
        <f>1-Fair_fum</f>
        <v>2.0000000000000018E-2</v>
      </c>
      <c r="H72" s="227" t="s">
        <v>5</v>
      </c>
      <c r="I72" s="227" t="s">
        <v>8</v>
      </c>
      <c r="J72" s="257" t="s">
        <v>256</v>
      </c>
    </row>
    <row r="73" spans="2:10" s="1" customFormat="1">
      <c r="B73" s="233"/>
      <c r="C73" s="229"/>
      <c r="D73" s="229"/>
      <c r="E73" s="228"/>
      <c r="F73" s="228"/>
      <c r="G73" s="227"/>
      <c r="H73" s="227"/>
      <c r="I73" s="227"/>
      <c r="J73" s="228"/>
    </row>
    <row r="74" spans="2:10" s="1" customFormat="1" ht="15">
      <c r="B74" s="233" t="s">
        <v>257</v>
      </c>
      <c r="C74" s="229"/>
      <c r="D74" s="229"/>
      <c r="E74" s="228" t="s">
        <v>258</v>
      </c>
      <c r="F74" s="228"/>
      <c r="G74" s="227">
        <v>0.1</v>
      </c>
      <c r="H74" s="227" t="s">
        <v>5</v>
      </c>
      <c r="I74" s="227" t="s">
        <v>13</v>
      </c>
      <c r="J74" s="228"/>
    </row>
    <row r="75" spans="2:10" s="1" customFormat="1" ht="3" customHeight="1">
      <c r="B75" s="233"/>
      <c r="C75" s="229"/>
      <c r="D75" s="229"/>
      <c r="E75" s="228"/>
      <c r="F75" s="228"/>
      <c r="G75" s="227"/>
      <c r="H75" s="227"/>
      <c r="I75" s="227"/>
      <c r="J75" s="228"/>
    </row>
    <row r="76" spans="2:10" s="1" customFormat="1" ht="15">
      <c r="B76" s="233" t="s">
        <v>566</v>
      </c>
      <c r="C76" s="229"/>
      <c r="D76" s="229"/>
      <c r="E76" s="228" t="s">
        <v>259</v>
      </c>
      <c r="F76" s="228"/>
      <c r="G76" s="251">
        <f>1-Fair_fog</f>
        <v>0.9</v>
      </c>
      <c r="H76" s="227" t="s">
        <v>5</v>
      </c>
      <c r="I76" s="227" t="s">
        <v>8</v>
      </c>
      <c r="J76" s="257" t="s">
        <v>260</v>
      </c>
    </row>
    <row r="77" spans="2:10" s="1" customFormat="1">
      <c r="B77" s="229"/>
      <c r="C77" s="229"/>
      <c r="D77" s="229"/>
      <c r="E77" s="228"/>
      <c r="F77" s="228"/>
      <c r="G77" s="227"/>
      <c r="H77" s="227"/>
      <c r="I77" s="227"/>
      <c r="J77" s="257"/>
    </row>
    <row r="78" spans="2:10" s="1" customFormat="1" ht="15">
      <c r="B78" s="252" t="s">
        <v>573</v>
      </c>
      <c r="C78" s="279"/>
      <c r="D78" s="279"/>
      <c r="E78" s="257" t="s">
        <v>598</v>
      </c>
      <c r="F78" s="468"/>
      <c r="G78" s="95"/>
      <c r="H78" s="267" t="s">
        <v>5</v>
      </c>
      <c r="I78" s="267" t="s">
        <v>6</v>
      </c>
      <c r="J78" s="480"/>
    </row>
    <row r="79" spans="2:10" s="1" customFormat="1" ht="3" customHeight="1">
      <c r="B79" s="279"/>
      <c r="C79" s="279"/>
      <c r="D79" s="279"/>
      <c r="E79" s="257"/>
      <c r="F79" s="468"/>
      <c r="G79" s="267"/>
      <c r="H79" s="267"/>
      <c r="I79" s="267"/>
      <c r="J79" s="257"/>
    </row>
    <row r="80" spans="2:10" s="1" customFormat="1" ht="15">
      <c r="B80" s="252" t="s">
        <v>574</v>
      </c>
      <c r="C80" s="279"/>
      <c r="D80" s="279"/>
      <c r="E80" s="257" t="s">
        <v>599</v>
      </c>
      <c r="F80" s="468"/>
      <c r="G80" s="482" t="str">
        <f>IF(ISNUMBER(Fair_spray), 1-Fair_spray, "??")</f>
        <v>??</v>
      </c>
      <c r="H80" s="267" t="s">
        <v>5</v>
      </c>
      <c r="I80" s="267" t="s">
        <v>8</v>
      </c>
      <c r="J80" s="257" t="s">
        <v>600</v>
      </c>
    </row>
    <row r="81" spans="1:61" s="3" customFormat="1">
      <c r="A81" s="1"/>
      <c r="B81" s="229"/>
      <c r="C81" s="229"/>
      <c r="D81" s="229"/>
      <c r="E81" s="228"/>
      <c r="F81" s="228"/>
      <c r="G81" s="227"/>
      <c r="H81" s="227"/>
      <c r="I81" s="227"/>
      <c r="J81" s="228"/>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s="3" customFormat="1" ht="16.2">
      <c r="A82" s="1"/>
      <c r="B82" s="212" t="s">
        <v>49</v>
      </c>
      <c r="C82" s="212"/>
      <c r="D82" s="212"/>
      <c r="E82" s="238"/>
      <c r="F82" s="238"/>
      <c r="G82" s="238"/>
      <c r="H82" s="238"/>
      <c r="I82" s="238"/>
      <c r="J82" s="239"/>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s="3" customFormat="1">
      <c r="A83" s="1"/>
      <c r="B83" s="229"/>
      <c r="C83" s="229"/>
      <c r="D83" s="229"/>
      <c r="E83" s="228"/>
      <c r="F83" s="228"/>
      <c r="G83" s="227"/>
      <c r="H83" s="227"/>
      <c r="I83" s="227"/>
      <c r="J83" s="228"/>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s="3" customFormat="1" ht="57.6">
      <c r="A84" s="1"/>
      <c r="B84" s="252" t="s">
        <v>569</v>
      </c>
      <c r="C84" s="279"/>
      <c r="D84" s="279"/>
      <c r="E84" s="257" t="s">
        <v>601</v>
      </c>
      <c r="F84" s="257"/>
      <c r="G84" s="483" t="str">
        <f>IF(ISNUMBER(Qai_appl_eggs),IF(AND(method_eggs='Pick-lists &amp; Defaults'!B205,ISNUMBER(Fwater_fum)),Qai_appl_eggs*0.001*Fwater_fum*(Vsluice1*Nsluice1*Nappl_sluice1+Vhatcher2*Nhatcher2*Nappl_hatcher2),IF(AND(method_eggs='Pick-lists &amp; Defaults'!B206,ISNUMBER(Fwater_fog)),Qai_appl_eggs*0.001*Fwater_fog*(Vsluice1*Nsluice1*Nappl_sluice1+Vhatcher2*Nhatcher2*Nappl_hatcher2),"??")),"??")</f>
        <v>??</v>
      </c>
      <c r="H84" s="267" t="s">
        <v>404</v>
      </c>
      <c r="I84" s="267" t="s">
        <v>8</v>
      </c>
      <c r="J84" s="480" t="s">
        <v>602</v>
      </c>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s="3" customFormat="1">
      <c r="A85" s="1"/>
      <c r="B85" s="252"/>
      <c r="C85" s="279"/>
      <c r="D85" s="279"/>
      <c r="E85" s="257"/>
      <c r="F85" s="257"/>
      <c r="G85" s="267"/>
      <c r="H85" s="267"/>
      <c r="I85" s="267"/>
      <c r="J85" s="257"/>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s="3" customFormat="1" ht="57.6">
      <c r="A86" s="1"/>
      <c r="B86" s="252" t="s">
        <v>570</v>
      </c>
      <c r="C86" s="279"/>
      <c r="D86" s="279"/>
      <c r="E86" s="257" t="s">
        <v>603</v>
      </c>
      <c r="F86" s="257"/>
      <c r="G86" s="483" t="str">
        <f>IF(ISNUMBER(Qai_appl_rooms),IF(AND(method_rooms='Pick-lists &amp; Defaults'!B211,ISNUMBER(Fwater_spray)),Qai_appl_rooms*0.001*Fwater_spray*(Vsetter3*Nsetter3*Nappl_setter3+Vhatcher3*Nhatcher3*Nappl_hatcher3),IF(AND(method_rooms='Pick-lists &amp; Defaults'!B212,ISNUMBER(Fwater_fog)),Qai_appl_rooms*0.001*Fwater_fog*(Vsetter3*Nsetter3*Nappl_setter3+Vhatcher3*Nhatcher3*Nappl_hatcher3),"??")),"??")</f>
        <v>??</v>
      </c>
      <c r="H86" s="267" t="s">
        <v>404</v>
      </c>
      <c r="I86" s="267" t="s">
        <v>8</v>
      </c>
      <c r="J86" s="480" t="s">
        <v>604</v>
      </c>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s="3" customFormat="1">
      <c r="A87" s="1"/>
      <c r="B87" s="252"/>
      <c r="C87" s="279"/>
      <c r="D87" s="279"/>
      <c r="E87" s="257"/>
      <c r="F87" s="257"/>
      <c r="G87" s="267"/>
      <c r="H87" s="267"/>
      <c r="I87" s="267"/>
      <c r="J87" s="257"/>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s="3" customFormat="1">
      <c r="A88" s="1"/>
      <c r="B88" s="252"/>
      <c r="C88" s="279"/>
      <c r="D88" s="279"/>
      <c r="E88" s="257"/>
      <c r="F88" s="257"/>
      <c r="G88" s="267"/>
      <c r="H88" s="267"/>
      <c r="I88" s="267"/>
      <c r="J88" s="257"/>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s="3" customFormat="1" ht="57.6">
      <c r="A89" s="1"/>
      <c r="B89" s="252" t="s">
        <v>571</v>
      </c>
      <c r="C89" s="279"/>
      <c r="D89" s="279"/>
      <c r="E89" s="257" t="s">
        <v>605</v>
      </c>
      <c r="F89" s="257"/>
      <c r="G89" s="483" t="str">
        <f>IF(ISNUMBER(Qai_appl_eggs),IF(AND(method_eggs='Pick-lists &amp; Defaults'!B205,ISNUMBER(Fair_fum)),Qai_appl_eggs*0.001*Fair_fum*(Vsluice1*Nsluice1*Nappl_sluice1+Vhatcher2*Nhatcher2*Nappl_hatcher2),IF(AND(method_eggs='Pick-lists &amp; Defaults'!B206,ISNUMBER(Fair_fog)),Qai_appl_eggs*0.001*Fair_fog*(Vsluice1*Nsluice1*Nappl_sluice1+Vhatcher2*Nhatcher2*Nappl_hatcher2),"??")),"??")</f>
        <v>??</v>
      </c>
      <c r="H89" s="267" t="s">
        <v>404</v>
      </c>
      <c r="I89" s="267" t="s">
        <v>8</v>
      </c>
      <c r="J89" s="480" t="s">
        <v>606</v>
      </c>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s="3" customFormat="1">
      <c r="A90" s="1"/>
      <c r="B90" s="252"/>
      <c r="C90" s="279"/>
      <c r="D90" s="279"/>
      <c r="E90" s="257"/>
      <c r="F90" s="257"/>
      <c r="G90" s="267"/>
      <c r="H90" s="267"/>
      <c r="I90" s="267"/>
      <c r="J90" s="257"/>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s="3" customFormat="1" ht="57.6">
      <c r="A91" s="1"/>
      <c r="B91" s="252" t="s">
        <v>572</v>
      </c>
      <c r="C91" s="279"/>
      <c r="D91" s="279"/>
      <c r="E91" s="257" t="s">
        <v>607</v>
      </c>
      <c r="F91" s="257"/>
      <c r="G91" s="483" t="str">
        <f>IF(ISNUMBER(Qai_appl_rooms),IF(AND(method_rooms='Pick-lists &amp; Defaults'!B211,ISNUMBER(Fair_spray)),Qai_appl_rooms*0.001*Fair_spray*(Vsetter3*Nsetter3*Nappl_setter3+Vhatcher3*Nhatcher3*Nappl_hatcher3),IF(AND(method_rooms='Pick-lists &amp; Defaults'!B212,ISNUMBER(Fair_fog)),Qai_appl_rooms*0.001*Fair_fog*(Vsetter3*Nsetter3*Nappl_setter3+Vhatcher3*Nhatcher3*Nappl_hatcher3),"??")),"??")</f>
        <v>??</v>
      </c>
      <c r="H91" s="267" t="s">
        <v>404</v>
      </c>
      <c r="I91" s="267" t="s">
        <v>8</v>
      </c>
      <c r="J91" s="480" t="s">
        <v>608</v>
      </c>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s="3" customFormat="1">
      <c r="A92" s="1"/>
      <c r="B92" s="229"/>
      <c r="C92" s="229"/>
      <c r="D92" s="229"/>
      <c r="E92" s="228"/>
      <c r="F92" s="228"/>
      <c r="G92" s="227"/>
      <c r="H92" s="227"/>
      <c r="I92" s="227"/>
      <c r="J92" s="228"/>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s="3" customFormat="1" ht="16.2">
      <c r="A93" s="1"/>
      <c r="B93" s="212" t="s">
        <v>1</v>
      </c>
      <c r="C93" s="212"/>
      <c r="D93" s="212"/>
      <c r="E93" s="238"/>
      <c r="F93" s="238"/>
      <c r="G93" s="238"/>
      <c r="H93" s="238"/>
      <c r="I93" s="238"/>
      <c r="J93" s="239"/>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s="3" customFormat="1">
      <c r="A94" s="1"/>
      <c r="B94" s="233"/>
      <c r="C94" s="233"/>
      <c r="D94" s="233"/>
      <c r="E94" s="233"/>
      <c r="F94" s="233"/>
      <c r="G94" s="233"/>
      <c r="H94" s="233"/>
      <c r="I94" s="233"/>
      <c r="J94" s="22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s="3" customFormat="1" ht="13.8">
      <c r="A95" s="1"/>
      <c r="B95" s="240" t="s">
        <v>2</v>
      </c>
      <c r="C95" s="240"/>
      <c r="D95" s="240"/>
      <c r="E95" s="241" t="s">
        <v>4</v>
      </c>
      <c r="F95" s="241"/>
      <c r="G95" s="243" t="s">
        <v>7</v>
      </c>
      <c r="H95" s="243" t="s">
        <v>3</v>
      </c>
      <c r="I95" s="243" t="s">
        <v>11</v>
      </c>
      <c r="J95" s="241" t="s">
        <v>9</v>
      </c>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s="3" customFormat="1">
      <c r="A96" s="1"/>
      <c r="B96" s="244"/>
      <c r="C96" s="244"/>
      <c r="D96" s="244"/>
      <c r="E96" s="244"/>
      <c r="F96" s="244"/>
      <c r="G96" s="244"/>
      <c r="H96" s="244"/>
      <c r="I96" s="244"/>
      <c r="J96" s="22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s="1" customFormat="1" ht="15">
      <c r="B97" s="252" t="s">
        <v>567</v>
      </c>
      <c r="C97" s="279"/>
      <c r="D97" s="279"/>
      <c r="E97" s="252" t="s">
        <v>609</v>
      </c>
      <c r="F97" s="252"/>
      <c r="G97" s="483" t="str">
        <f>IFERROR(G84+G86,"??")</f>
        <v>??</v>
      </c>
      <c r="H97" s="267" t="s">
        <v>404</v>
      </c>
      <c r="I97" s="267" t="s">
        <v>8</v>
      </c>
      <c r="J97" s="480" t="s">
        <v>610</v>
      </c>
    </row>
    <row r="98" spans="1:61" s="1" customFormat="1">
      <c r="B98" s="257"/>
      <c r="C98" s="252"/>
      <c r="D98" s="252"/>
      <c r="E98" s="252"/>
      <c r="F98" s="252"/>
      <c r="G98" s="267"/>
      <c r="H98" s="267"/>
      <c r="I98" s="267"/>
      <c r="J98" s="252"/>
    </row>
    <row r="99" spans="1:61" s="1" customFormat="1" ht="15">
      <c r="B99" s="257" t="s">
        <v>568</v>
      </c>
      <c r="C99" s="252"/>
      <c r="D99" s="252"/>
      <c r="E99" s="252" t="s">
        <v>611</v>
      </c>
      <c r="F99" s="252"/>
      <c r="G99" s="483" t="str">
        <f>IFERROR(G89+G91,"??")</f>
        <v>??</v>
      </c>
      <c r="H99" s="267" t="s">
        <v>404</v>
      </c>
      <c r="I99" s="267" t="s">
        <v>8</v>
      </c>
      <c r="J99" s="480" t="s">
        <v>612</v>
      </c>
    </row>
    <row r="100" spans="1:61" s="1" customFormat="1">
      <c r="B100" s="510"/>
      <c r="C100" s="510"/>
      <c r="D100" s="469"/>
      <c r="E100" s="233"/>
      <c r="F100" s="233"/>
      <c r="G100" s="233"/>
      <c r="H100" s="227"/>
      <c r="I100" s="227"/>
      <c r="J100" s="228"/>
    </row>
    <row r="101" spans="1:61" s="1" customFormat="1">
      <c r="B101" s="462"/>
      <c r="C101" s="276"/>
      <c r="D101" s="276"/>
      <c r="E101" s="233"/>
      <c r="F101" s="233"/>
      <c r="G101" s="233"/>
      <c r="H101" s="227"/>
      <c r="I101" s="227"/>
      <c r="J101" s="228"/>
    </row>
    <row r="102" spans="1:61" s="190" customFormat="1">
      <c r="B102" s="235" t="s">
        <v>12</v>
      </c>
      <c r="C102" s="235"/>
      <c r="D102" s="235"/>
      <c r="J102" s="204"/>
    </row>
    <row r="103" spans="1:61" s="204" customFormat="1">
      <c r="B103" s="277"/>
      <c r="C103" s="277"/>
      <c r="D103" s="277"/>
      <c r="J103" s="278"/>
    </row>
    <row r="104" spans="1:61" s="204" customFormat="1">
      <c r="B104" s="277"/>
      <c r="C104" s="277"/>
      <c r="D104" s="277"/>
      <c r="J104" s="278"/>
    </row>
    <row r="105" spans="1:61" s="207" customFormat="1">
      <c r="A105" s="204"/>
      <c r="B105" s="277"/>
      <c r="C105" s="277"/>
      <c r="D105" s="277"/>
      <c r="E105" s="204"/>
      <c r="F105" s="204"/>
      <c r="G105" s="204"/>
      <c r="H105" s="204"/>
      <c r="I105" s="204"/>
      <c r="J105" s="278"/>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row>
    <row r="106" spans="1:61" s="207" customFormat="1">
      <c r="A106" s="204"/>
      <c r="B106" s="277"/>
      <c r="C106" s="277"/>
      <c r="D106" s="277"/>
      <c r="E106" s="204"/>
      <c r="F106" s="204"/>
      <c r="G106" s="204"/>
      <c r="H106" s="204"/>
      <c r="I106" s="204"/>
      <c r="J106" s="278"/>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row>
    <row r="107" spans="1:61" s="207" customFormat="1">
      <c r="A107" s="204"/>
      <c r="B107" s="277"/>
      <c r="C107" s="277"/>
      <c r="D107" s="277"/>
      <c r="E107" s="204"/>
      <c r="F107" s="204"/>
      <c r="G107" s="204"/>
      <c r="H107" s="204"/>
      <c r="I107" s="204"/>
      <c r="J107" s="278"/>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row>
    <row r="108" spans="1:61" s="204" customFormat="1">
      <c r="B108" s="277"/>
      <c r="C108" s="277"/>
      <c r="D108" s="277"/>
      <c r="I108" s="278"/>
    </row>
    <row r="109" spans="1:61" s="204" customFormat="1">
      <c r="B109" s="277"/>
      <c r="C109" s="277"/>
      <c r="D109" s="277"/>
      <c r="I109" s="278"/>
    </row>
    <row r="110" spans="1:61" s="204" customFormat="1">
      <c r="B110" s="277"/>
      <c r="C110" s="277"/>
      <c r="D110" s="277"/>
      <c r="I110" s="278"/>
    </row>
    <row r="111" spans="1:61" s="204" customFormat="1">
      <c r="B111" s="277"/>
      <c r="C111" s="277"/>
      <c r="D111" s="277"/>
      <c r="I111" s="278"/>
    </row>
    <row r="112" spans="1:61" s="204" customFormat="1">
      <c r="B112" s="277"/>
      <c r="C112" s="277"/>
      <c r="D112" s="277"/>
      <c r="I112" s="278"/>
    </row>
    <row r="113" spans="2:10" s="204" customFormat="1">
      <c r="B113" s="277"/>
      <c r="C113" s="277"/>
      <c r="D113" s="277"/>
      <c r="I113" s="278"/>
    </row>
    <row r="114" spans="2:10" s="204" customFormat="1">
      <c r="B114" s="277"/>
      <c r="C114" s="277"/>
      <c r="D114" s="277"/>
      <c r="I114" s="278"/>
    </row>
    <row r="115" spans="2:10" s="1" customFormat="1">
      <c r="C115" s="14"/>
      <c r="D115" s="14"/>
      <c r="J115" s="234"/>
    </row>
    <row r="116" spans="2:10" s="190" customFormat="1">
      <c r="J116" s="191"/>
    </row>
    <row r="117" spans="2:10" s="190" customFormat="1">
      <c r="J117" s="191"/>
    </row>
    <row r="118" spans="2:10" s="190" customFormat="1">
      <c r="J118" s="191"/>
    </row>
    <row r="119" spans="2:10" s="190" customFormat="1">
      <c r="J119" s="191"/>
    </row>
    <row r="120" spans="2:10" s="190" customFormat="1">
      <c r="J120" s="191"/>
    </row>
    <row r="121" spans="2:10" s="190" customFormat="1">
      <c r="J121" s="191"/>
    </row>
    <row r="122" spans="2:10" s="190" customFormat="1">
      <c r="J122" s="191"/>
    </row>
    <row r="123" spans="2:10" s="190" customFormat="1">
      <c r="J123" s="191"/>
    </row>
    <row r="124" spans="2:10" s="190" customFormat="1">
      <c r="J124" s="191"/>
    </row>
    <row r="125" spans="2:10" s="190" customFormat="1">
      <c r="J125" s="191"/>
    </row>
    <row r="126" spans="2:10" s="190" customFormat="1">
      <c r="J126" s="191"/>
    </row>
    <row r="127" spans="2:10" s="190" customFormat="1">
      <c r="J127" s="191"/>
    </row>
    <row r="128" spans="2:10" s="190" customFormat="1">
      <c r="J128" s="191"/>
    </row>
    <row r="129" spans="10:10" s="190" customFormat="1">
      <c r="J129" s="191"/>
    </row>
    <row r="130" spans="10:10" s="190" customFormat="1">
      <c r="J130" s="191"/>
    </row>
    <row r="131" spans="10:10" s="190" customFormat="1">
      <c r="J131" s="191"/>
    </row>
    <row r="132" spans="10:10" s="190" customFormat="1">
      <c r="J132" s="191"/>
    </row>
    <row r="133" spans="10:10" s="190" customFormat="1">
      <c r="J133" s="191"/>
    </row>
    <row r="134" spans="10:10" s="190" customFormat="1">
      <c r="J134" s="191"/>
    </row>
    <row r="135" spans="10:10" s="190" customFormat="1">
      <c r="J135" s="191"/>
    </row>
    <row r="136" spans="10:10" s="190" customFormat="1">
      <c r="J136" s="191"/>
    </row>
    <row r="137" spans="10:10" s="190" customFormat="1">
      <c r="J137" s="191"/>
    </row>
    <row r="138" spans="10:10" s="190" customFormat="1">
      <c r="J138" s="191"/>
    </row>
    <row r="139" spans="10:10" s="190" customFormat="1">
      <c r="J139" s="191"/>
    </row>
    <row r="140" spans="10:10" s="190" customFormat="1">
      <c r="J140" s="191"/>
    </row>
    <row r="141" spans="10:10" s="190" customFormat="1">
      <c r="J141" s="191"/>
    </row>
    <row r="142" spans="10:10" s="190" customFormat="1">
      <c r="J142" s="191"/>
    </row>
    <row r="143" spans="10:10" s="190" customFormat="1">
      <c r="J143" s="191"/>
    </row>
    <row r="144" spans="10:10" s="190" customFormat="1">
      <c r="J144" s="191"/>
    </row>
    <row r="145" spans="10:10" s="190" customFormat="1">
      <c r="J145" s="191"/>
    </row>
    <row r="146" spans="10:10" s="190" customFormat="1">
      <c r="J146" s="191"/>
    </row>
    <row r="147" spans="10:10" s="190" customFormat="1">
      <c r="J147" s="191"/>
    </row>
    <row r="148" spans="10:10" s="190" customFormat="1">
      <c r="J148" s="191"/>
    </row>
    <row r="149" spans="10:10" s="190" customFormat="1">
      <c r="J149" s="191"/>
    </row>
    <row r="150" spans="10:10" s="190" customFormat="1">
      <c r="J150" s="191"/>
    </row>
    <row r="151" spans="10:10" s="190" customFormat="1">
      <c r="J151" s="191"/>
    </row>
    <row r="152" spans="10:10" s="190" customFormat="1">
      <c r="J152" s="191"/>
    </row>
    <row r="153" spans="10:10" s="190" customFormat="1">
      <c r="J153" s="191"/>
    </row>
    <row r="154" spans="10:10" s="190" customFormat="1">
      <c r="J154" s="191"/>
    </row>
    <row r="155" spans="10:10" s="190" customFormat="1">
      <c r="J155" s="191"/>
    </row>
    <row r="156" spans="10:10" s="190" customFormat="1">
      <c r="J156" s="191"/>
    </row>
    <row r="157" spans="10:10" s="190" customFormat="1">
      <c r="J157" s="191"/>
    </row>
    <row r="158" spans="10:10" s="190" customFormat="1">
      <c r="J158" s="191"/>
    </row>
    <row r="159" spans="10:10" s="190" customFormat="1">
      <c r="J159" s="191"/>
    </row>
    <row r="160" spans="10:10" s="190" customFormat="1">
      <c r="J160" s="191"/>
    </row>
    <row r="161" spans="10:10" s="190" customFormat="1">
      <c r="J161" s="191"/>
    </row>
    <row r="162" spans="10:10" s="190" customFormat="1">
      <c r="J162" s="191"/>
    </row>
    <row r="163" spans="10:10" s="190" customFormat="1">
      <c r="J163" s="191"/>
    </row>
    <row r="164" spans="10:10" s="190" customFormat="1">
      <c r="J164" s="191"/>
    </row>
    <row r="165" spans="10:10" s="190" customFormat="1">
      <c r="J165" s="191"/>
    </row>
    <row r="166" spans="10:10" s="190" customFormat="1">
      <c r="J166" s="191"/>
    </row>
    <row r="167" spans="10:10" s="190" customFormat="1">
      <c r="J167" s="191"/>
    </row>
    <row r="168" spans="10:10" s="190" customFormat="1">
      <c r="J168" s="191"/>
    </row>
    <row r="169" spans="10:10" s="190" customFormat="1">
      <c r="J169" s="191"/>
    </row>
    <row r="170" spans="10:10" s="190" customFormat="1">
      <c r="J170" s="191"/>
    </row>
    <row r="171" spans="10:10" s="190" customFormat="1">
      <c r="J171" s="191"/>
    </row>
    <row r="172" spans="10:10" s="190" customFormat="1">
      <c r="J172" s="191"/>
    </row>
    <row r="173" spans="10:10" s="190" customFormat="1">
      <c r="J173" s="191"/>
    </row>
    <row r="174" spans="10:10" s="190" customFormat="1">
      <c r="J174" s="191"/>
    </row>
    <row r="175" spans="10:10" s="190" customFormat="1">
      <c r="J175" s="191"/>
    </row>
    <row r="176" spans="10:10" s="190" customFormat="1">
      <c r="J176" s="191"/>
    </row>
    <row r="177" spans="10:10" s="190" customFormat="1">
      <c r="J177" s="191"/>
    </row>
    <row r="178" spans="10:10" s="190" customFormat="1">
      <c r="J178" s="191"/>
    </row>
    <row r="179" spans="10:10" s="190" customFormat="1">
      <c r="J179" s="191"/>
    </row>
    <row r="180" spans="10:10" s="190" customFormat="1">
      <c r="J180" s="191"/>
    </row>
    <row r="181" spans="10:10" s="190" customFormat="1">
      <c r="J181" s="191"/>
    </row>
    <row r="182" spans="10:10" s="190" customFormat="1">
      <c r="J182" s="191"/>
    </row>
    <row r="183" spans="10:10" s="190" customFormat="1">
      <c r="J183" s="191"/>
    </row>
    <row r="184" spans="10:10" s="190" customFormat="1">
      <c r="J184" s="191"/>
    </row>
    <row r="185" spans="10:10" s="190" customFormat="1">
      <c r="J185" s="191"/>
    </row>
    <row r="186" spans="10:10" s="190" customFormat="1">
      <c r="J186" s="191"/>
    </row>
    <row r="187" spans="10:10" s="190" customFormat="1">
      <c r="J187" s="191"/>
    </row>
    <row r="188" spans="10:10" s="190" customFormat="1">
      <c r="J188" s="191"/>
    </row>
    <row r="189" spans="10:10" s="190" customFormat="1">
      <c r="J189" s="191"/>
    </row>
    <row r="190" spans="10:10" s="190" customFormat="1">
      <c r="J190" s="191"/>
    </row>
    <row r="191" spans="10:10" s="190" customFormat="1">
      <c r="J191" s="191"/>
    </row>
    <row r="192" spans="10:10" s="190" customFormat="1">
      <c r="J192" s="191"/>
    </row>
    <row r="193" spans="10:10" s="190" customFormat="1">
      <c r="J193" s="191"/>
    </row>
    <row r="194" spans="10:10" s="190" customFormat="1">
      <c r="J194" s="191"/>
    </row>
    <row r="195" spans="10:10" s="190" customFormat="1">
      <c r="J195" s="191"/>
    </row>
    <row r="196" spans="10:10" s="190" customFormat="1">
      <c r="J196" s="191"/>
    </row>
    <row r="197" spans="10:10" s="190" customFormat="1">
      <c r="J197" s="191"/>
    </row>
    <row r="198" spans="10:10" s="190" customFormat="1">
      <c r="J198" s="191"/>
    </row>
    <row r="199" spans="10:10" s="190" customFormat="1">
      <c r="J199" s="191"/>
    </row>
    <row r="200" spans="10:10" s="190" customFormat="1">
      <c r="J200" s="191"/>
    </row>
    <row r="201" spans="10:10" s="190" customFormat="1">
      <c r="J201" s="191"/>
    </row>
    <row r="202" spans="10:10" s="190" customFormat="1">
      <c r="J202" s="191"/>
    </row>
    <row r="203" spans="10:10" s="190" customFormat="1">
      <c r="J203" s="191"/>
    </row>
    <row r="204" spans="10:10" s="190" customFormat="1">
      <c r="J204" s="191"/>
    </row>
    <row r="205" spans="10:10" s="190" customFormat="1">
      <c r="J205" s="191"/>
    </row>
    <row r="206" spans="10:10" s="190" customFormat="1">
      <c r="J206" s="191"/>
    </row>
    <row r="207" spans="10:10" s="190" customFormat="1">
      <c r="J207" s="191"/>
    </row>
    <row r="208" spans="10:10" s="190" customFormat="1">
      <c r="J208" s="191"/>
    </row>
    <row r="209" spans="10:10" s="190" customFormat="1">
      <c r="J209" s="191"/>
    </row>
    <row r="210" spans="10:10" s="190" customFormat="1">
      <c r="J210" s="191"/>
    </row>
    <row r="211" spans="10:10" s="190" customFormat="1">
      <c r="J211" s="191"/>
    </row>
    <row r="212" spans="10:10" s="190" customFormat="1">
      <c r="J212" s="191"/>
    </row>
    <row r="213" spans="10:10" s="190" customFormat="1">
      <c r="J213" s="191"/>
    </row>
    <row r="214" spans="10:10" s="190" customFormat="1">
      <c r="J214" s="191"/>
    </row>
    <row r="215" spans="10:10" s="190" customFormat="1">
      <c r="J215" s="191"/>
    </row>
    <row r="216" spans="10:10" s="190" customFormat="1">
      <c r="J216" s="191"/>
    </row>
    <row r="217" spans="10:10" s="190" customFormat="1">
      <c r="J217" s="191"/>
    </row>
    <row r="218" spans="10:10" s="190" customFormat="1">
      <c r="J218" s="191"/>
    </row>
    <row r="219" spans="10:10" s="190" customFormat="1">
      <c r="J219" s="191"/>
    </row>
    <row r="220" spans="10:10" s="190" customFormat="1">
      <c r="J220" s="191"/>
    </row>
    <row r="221" spans="10:10" s="190" customFormat="1">
      <c r="J221" s="191"/>
    </row>
    <row r="222" spans="10:10" s="190" customFormat="1">
      <c r="J222" s="191"/>
    </row>
    <row r="223" spans="10:10" s="190" customFormat="1">
      <c r="J223" s="191"/>
    </row>
    <row r="224" spans="10:10" s="190" customFormat="1">
      <c r="J224" s="191"/>
    </row>
    <row r="225" spans="10:10" s="190" customFormat="1">
      <c r="J225" s="191"/>
    </row>
    <row r="226" spans="10:10" s="190" customFormat="1">
      <c r="J226" s="191"/>
    </row>
    <row r="227" spans="10:10" s="190" customFormat="1">
      <c r="J227" s="191"/>
    </row>
    <row r="228" spans="10:10" s="190" customFormat="1">
      <c r="J228" s="191"/>
    </row>
    <row r="229" spans="10:10" s="190" customFormat="1">
      <c r="J229" s="191"/>
    </row>
    <row r="230" spans="10:10" s="190" customFormat="1">
      <c r="J230" s="191"/>
    </row>
    <row r="231" spans="10:10" s="190" customFormat="1">
      <c r="J231" s="191"/>
    </row>
    <row r="232" spans="10:10" s="190" customFormat="1">
      <c r="J232" s="191"/>
    </row>
    <row r="233" spans="10:10" s="190" customFormat="1">
      <c r="J233" s="191"/>
    </row>
    <row r="234" spans="10:10" s="190" customFormat="1">
      <c r="J234" s="191"/>
    </row>
    <row r="235" spans="10:10" s="190" customFormat="1">
      <c r="J235" s="191"/>
    </row>
    <row r="236" spans="10:10" s="190" customFormat="1">
      <c r="J236" s="191"/>
    </row>
    <row r="237" spans="10:10" s="190" customFormat="1">
      <c r="J237" s="191"/>
    </row>
    <row r="238" spans="10:10" s="190" customFormat="1">
      <c r="J238" s="191"/>
    </row>
    <row r="239" spans="10:10" s="190" customFormat="1">
      <c r="J239" s="191"/>
    </row>
    <row r="240" spans="10:10" s="190" customFormat="1">
      <c r="J240" s="191"/>
    </row>
    <row r="241" spans="10:10" s="190" customFormat="1">
      <c r="J241" s="191"/>
    </row>
    <row r="242" spans="10:10" s="190" customFormat="1">
      <c r="J242" s="191"/>
    </row>
    <row r="243" spans="10:10" s="190" customFormat="1">
      <c r="J243" s="191"/>
    </row>
    <row r="244" spans="10:10" s="190" customFormat="1">
      <c r="J244" s="191"/>
    </row>
    <row r="245" spans="10:10" s="190" customFormat="1">
      <c r="J245" s="191"/>
    </row>
    <row r="246" spans="10:10" s="190" customFormat="1">
      <c r="J246" s="191"/>
    </row>
    <row r="247" spans="10:10" s="190" customFormat="1">
      <c r="J247" s="191"/>
    </row>
    <row r="248" spans="10:10" s="190" customFormat="1">
      <c r="J248" s="191"/>
    </row>
    <row r="249" spans="10:10" s="190" customFormat="1">
      <c r="J249" s="191"/>
    </row>
    <row r="250" spans="10:10" s="190" customFormat="1">
      <c r="J250" s="191"/>
    </row>
    <row r="251" spans="10:10" s="190" customFormat="1">
      <c r="J251" s="191"/>
    </row>
    <row r="252" spans="10:10" s="190" customFormat="1">
      <c r="J252" s="191"/>
    </row>
    <row r="253" spans="10:10" s="190" customFormat="1">
      <c r="J253" s="191"/>
    </row>
    <row r="254" spans="10:10" s="190" customFormat="1">
      <c r="J254" s="191"/>
    </row>
    <row r="255" spans="10:10" s="190" customFormat="1">
      <c r="J255" s="191"/>
    </row>
  </sheetData>
  <sheetProtection algorithmName="SHA-512" hashValue="uyq8TD/rXhAipRS+EDt2rdyUee0x56ceQ9fN6dXPRrEeVIA/vGsntuEcjdtXYe1Xz17noDIVdpDHoxgCFXFtwg==" saltValue="iv/stlwfFn+47h6qTb+DAA==" spinCount="100000" sheet="1" objects="1" scenarios="1" formatCells="0" formatColumns="0" formatRows="0"/>
  <mergeCells count="7">
    <mergeCell ref="B9:J9"/>
    <mergeCell ref="B34:C34"/>
    <mergeCell ref="B36:C36"/>
    <mergeCell ref="B100:C100"/>
    <mergeCell ref="B25:C25"/>
    <mergeCell ref="B27:C27"/>
    <mergeCell ref="B13:J13"/>
  </mergeCells>
  <conditionalFormatting sqref="G39:G46 G54 G63:G71 G73:G75">
    <cfRule type="containsText" dxfId="3" priority="4" operator="containsText" text="Introduce value">
      <formula>NOT(ISERROR(SEARCH("Introduce value",#REF!)))</formula>
    </cfRule>
  </conditionalFormatting>
  <conditionalFormatting sqref="G38">
    <cfRule type="containsText" dxfId="2" priority="3" operator="containsText" text="Introduce value">
      <formula>NOT(ISERROR(SEARCH("Introduce value",#REF!)))</formula>
    </cfRule>
  </conditionalFormatting>
  <conditionalFormatting sqref="G47:G53">
    <cfRule type="containsText" dxfId="1" priority="2" operator="containsText" text="Introduce value">
      <formula>NOT(ISERROR(SEARCH("Introduce value",#REF!)))</formula>
    </cfRule>
  </conditionalFormatting>
  <conditionalFormatting sqref="G55:G62">
    <cfRule type="containsText" dxfId="0" priority="1" operator="containsText" text="Introduce value">
      <formula>NOT(ISERROR(SEARCH("Introduce value",#REF!)))</formula>
    </cfRule>
  </conditionalFormatting>
  <dataValidations count="3">
    <dataValidation type="list" allowBlank="1" showInputMessage="1" showErrorMessage="1" sqref="G23" xr:uid="{8A1A24F0-2DA9-4963-B7FB-0218DB3E3418}">
      <formula1>eggs_disinfection</formula1>
    </dataValidation>
    <dataValidation type="list" allowBlank="1" showInputMessage="1" showErrorMessage="1" sqref="G32" xr:uid="{4FFB0848-BB18-4970-93E3-4D4F0D865942}">
      <formula1>rooms_disinfection</formula1>
    </dataValidation>
    <dataValidation type="list" allowBlank="1" showInputMessage="1" showErrorMessage="1" sqref="G25 G34" xr:uid="{7F30C0E5-FBC0-4120-A310-CE41AD0D46D7}">
      <formula1>active_ingredient</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d80dd6ab-43bf-4d9d-bb1e-742532452846">
      <Value>1</Value>
      <Value>9</Value>
    </TaxCatchAll>
    <_dlc_DocId xmlns="5bcca709-0b09-4b74-bfa0-2137a84c1763">ACTV16-17-97703</_dlc_DocId>
    <_dlc_DocIdUrl xmlns="5bcca709-0b09-4b74-bfa0-2137a84c1763">
      <Url>https://activity.echa.europa.eu/sites/act-16/process-16-0/_layouts/15/DocIdRedir.aspx?ID=ACTV16-17-97703</Url>
      <Description>ACTV16-17-97703</Description>
    </_dlc_DocIdUrl>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IconOverlay xmlns="http://schemas.microsoft.com/sharepoint/v4" xsi:nil="true"/>
    <IsRecord xmlns="735cbd8a-ef91-4d32-baee-5f03e5fb30bf">No</IsRecord>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Status xmlns="735cbd8a-ef91-4d32-baee-5f03e5fb30bf"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0" ma:contentTypeDescription="Content type for ECHA process documents" ma:contentTypeScope="" ma:versionID="a2c04277613092aa9b423afc6e864500">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cf7a962deaae75eabbbe6e0f77414d36"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2.xml><?xml version="1.0" encoding="utf-8"?>
<ds:datastoreItem xmlns:ds="http://schemas.openxmlformats.org/officeDocument/2006/customXml" ds:itemID="{46E1CFF7-3811-4B00-85F4-0D62518EAA52}">
  <ds:schemaRefs>
    <ds:schemaRef ds:uri="b80ede5c-af4c-4bf2-9a87-706a3579dc11"/>
    <ds:schemaRef ds:uri="http://schemas.microsoft.com/sharepoint/v4"/>
    <ds:schemaRef ds:uri="http://purl.org/dc/terms/"/>
    <ds:schemaRef ds:uri="8919639d-03a3-4573-a832-1e3bee8480f0"/>
    <ds:schemaRef ds:uri="d80dd6ab-43bf-4d9d-bb1e-742532452846"/>
    <ds:schemaRef ds:uri="http://purl.org/dc/dcmitype/"/>
    <ds:schemaRef ds:uri="5be2862c-9c7a-466a-8f6d-c278e82738e2"/>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5bcca709-0b09-4b74-bfa0-2137a84c1763"/>
    <ds:schemaRef ds:uri="735cbd8a-ef91-4d32-baee-5f03e5fb30b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4.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5.xml><?xml version="1.0" encoding="utf-8"?>
<ds:datastoreItem xmlns:ds="http://schemas.openxmlformats.org/officeDocument/2006/customXml" ds:itemID="{5F7955B4-E305-45B8-8FD8-1A45D8A332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8919639d-03a3-4573-a832-1e3bee848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337</vt:i4>
      </vt:variant>
    </vt:vector>
  </HeadingPairs>
  <TitlesOfParts>
    <vt:vector size="347" baseType="lpstr">
      <vt:lpstr>Introduction</vt:lpstr>
      <vt:lpstr>Index</vt:lpstr>
      <vt:lpstr>PT 3 - animal housing</vt:lpstr>
      <vt:lpstr>PT 3 - transport</vt:lpstr>
      <vt:lpstr>PT 3-vet hyg non med teat dip</vt:lpstr>
      <vt:lpstr>PT 3 - vet hyg footwear</vt:lpstr>
      <vt:lpstr>PT 3 - dipping bath for tools</vt:lpstr>
      <vt:lpstr>PT 3-vet hyg animal's feet</vt:lpstr>
      <vt:lpstr>PT 3 - hatcheries</vt:lpstr>
      <vt:lpstr>Pick-lists &amp; Defaults</vt:lpstr>
      <vt:lpstr>active_ingredient</vt:lpstr>
      <vt:lpstr>'PT 3 - animal housing'!Air</vt:lpstr>
      <vt:lpstr>'PT 3 - animal housing'!app_rate</vt:lpstr>
      <vt:lpstr>'PT 3 - animal housing'!application</vt:lpstr>
      <vt:lpstr>appway</vt:lpstr>
      <vt:lpstr>AREA_or_VOLUME</vt:lpstr>
      <vt:lpstr>'PT 3 - transport'!AREAcont</vt:lpstr>
      <vt:lpstr>'PT 3 - transport'!AREAmam</vt:lpstr>
      <vt:lpstr>'PT 3 - transport'!AREApoul</vt:lpstr>
      <vt:lpstr>'PT 3 - animal housing'!as_content</vt:lpstr>
      <vt:lpstr>'PT 3 - dipping bath for tools'!as_content</vt:lpstr>
      <vt:lpstr>'PT 3 - vet hyg footwear'!as_content</vt:lpstr>
      <vt:lpstr>'PT 3-vet hyg animal''s feet'!as_content</vt:lpstr>
      <vt:lpstr>'PT 3-vet hyg non med teat dip'!as_content</vt:lpstr>
      <vt:lpstr>Cat_1</vt:lpstr>
      <vt:lpstr>Cat_10</vt:lpstr>
      <vt:lpstr>Cat_11</vt:lpstr>
      <vt:lpstr>Cat_12</vt:lpstr>
      <vt:lpstr>Cat_13</vt:lpstr>
      <vt:lpstr>Cat_14</vt:lpstr>
      <vt:lpstr>Cat_15</vt:lpstr>
      <vt:lpstr>Cat_16</vt:lpstr>
      <vt:lpstr>Cat_17</vt:lpstr>
      <vt:lpstr>Cat_18</vt:lpstr>
      <vt:lpstr>Cat_19</vt:lpstr>
      <vt:lpstr>Cat_2</vt:lpstr>
      <vt:lpstr>Cat_20</vt:lpstr>
      <vt:lpstr>Cat_3</vt:lpstr>
      <vt:lpstr>Cat_4</vt:lpstr>
      <vt:lpstr>Cat_5</vt:lpstr>
      <vt:lpstr>Cat_6</vt:lpstr>
      <vt:lpstr>Cat_7</vt:lpstr>
      <vt:lpstr>Cat_8</vt:lpstr>
      <vt:lpstr>Cat_9</vt:lpstr>
      <vt:lpstr>cat_subcat_animal</vt:lpstr>
      <vt:lpstr>cat_subcat_m_storage</vt:lpstr>
      <vt:lpstr>'PT 3 - animal housing'!Cstd_air</vt:lpstr>
      <vt:lpstr>'PT 3-vet hyg animal''s feet'!Cstd_air</vt:lpstr>
      <vt:lpstr>'PT 3 - transport'!Cstdair</vt:lpstr>
      <vt:lpstr>'PT 3 - animal housing'!density</vt:lpstr>
      <vt:lpstr>'PT 3 - dipping bath for tools'!density</vt:lpstr>
      <vt:lpstr>'PT 3 - vet hyg footwear'!density</vt:lpstr>
      <vt:lpstr>'PT 3-vet hyg animal''s feet'!density</vt:lpstr>
      <vt:lpstr>'PT 3-vet hyg non med teat dip'!density</vt:lpstr>
      <vt:lpstr>'PT 3 - animal housing'!DEPTHarable</vt:lpstr>
      <vt:lpstr>'PT 3 - dipping bath for tools'!DEPTHarable</vt:lpstr>
      <vt:lpstr>'PT 3 - vet hyg footwear'!DEPTHarable</vt:lpstr>
      <vt:lpstr>'PT 3-vet hyg animal''s feet'!DEPTHarable</vt:lpstr>
      <vt:lpstr>'PT 3-vet hyg non med teat dip'!DEPTHarable</vt:lpstr>
      <vt:lpstr>'PT 3 - animal housing'!DEPTHgrass</vt:lpstr>
      <vt:lpstr>'PT 3 - dipping bath for tools'!DEPTHgrass</vt:lpstr>
      <vt:lpstr>'PT 3 - vet hyg footwear'!DEPTHgrass</vt:lpstr>
      <vt:lpstr>'PT 3-vet hyg animal''s feet'!DEPTHgrass</vt:lpstr>
      <vt:lpstr>'PT 3-vet hyg non med teat dip'!DEPTHgrass</vt:lpstr>
      <vt:lpstr>'PT 3 - animal housing'!DILUTION</vt:lpstr>
      <vt:lpstr>'PT 3 - dipping bath for tools'!DILUTION</vt:lpstr>
      <vt:lpstr>'PT 3 - vet hyg footwear'!DILUTION</vt:lpstr>
      <vt:lpstr>'PT 3-vet hyg animal''s feet'!DILUTION</vt:lpstr>
      <vt:lpstr>'PT 3-vet hyg non med teat dip'!DILUTION</vt:lpstr>
      <vt:lpstr>'PT 3 - animal housing'!DT50bio_soil_ar</vt:lpstr>
      <vt:lpstr>'PT 3 - dipping bath for tools'!DT50bio_soil_ar</vt:lpstr>
      <vt:lpstr>'PT 3 - vet hyg footwear'!DT50bio_soil_ar</vt:lpstr>
      <vt:lpstr>'PT 3-vet hyg animal''s feet'!DT50bio_soil_ar</vt:lpstr>
      <vt:lpstr>'PT 3-vet hyg non med teat dip'!DT50bio_soil_ar</vt:lpstr>
      <vt:lpstr>'PT 3 - animal housing'!DT50bio_soil_gr</vt:lpstr>
      <vt:lpstr>'PT 3 - dipping bath for tools'!DT50bio_soil_gr</vt:lpstr>
      <vt:lpstr>'PT 3 - vet hyg footwear'!DT50bio_soil_gr</vt:lpstr>
      <vt:lpstr>'PT 3-vet hyg animal''s feet'!DT50bio_soil_gr</vt:lpstr>
      <vt:lpstr>'PT 3-vet hyg non med teat dip'!DT50bio_soil_gr</vt:lpstr>
      <vt:lpstr>'PT 3 - transport'!Edirect_air_mam</vt:lpstr>
      <vt:lpstr>'PT 3 - transport'!Edirect_air_poul</vt:lpstr>
      <vt:lpstr>eggs_disinfection</vt:lpstr>
      <vt:lpstr>Emission_scenario_for_disinfectants_used_for_disinfection_of_animal_housings</vt:lpstr>
      <vt:lpstr>Emission_scenario_for_disinfectants_used_for_disinfection_of_vehicles_used_for_animal_transport__ESD_§_2.2__p.19__Table_2</vt:lpstr>
      <vt:lpstr>'PT 3 - dipping bath for tools'!Emission_scenario_for_disinfectants_used_for_veterinary_hygiene__disinfection_of_footwear</vt:lpstr>
      <vt:lpstr>'PT 3-vet hyg animal''s feet'!Emission_scenario_for_disinfectants_used_for_veterinary_hygiene__disinfection_of_footwear</vt:lpstr>
      <vt:lpstr>Emission_scenario_for_disinfectants_used_for_veterinary_hygiene__disinfection_of_footwear</vt:lpstr>
      <vt:lpstr>'PT 3 - hatcheries'!Emission_scenario_for_disinfectants_used_for_veterinary_hygiene__disinfection_of_hatcheries</vt:lpstr>
      <vt:lpstr>Emission_scenario_for_disinfectants_used_for_veterinary_hygiene__non_medical_teat_dips</vt:lpstr>
      <vt:lpstr>'PT 3 - transport'!F_bioc</vt:lpstr>
      <vt:lpstr>'PT 3 - transport'!F_dil</vt:lpstr>
      <vt:lpstr>'PT 3 - transport'!Fair</vt:lpstr>
      <vt:lpstr>'PT 3-vet hyg animal''s feet'!Fair</vt:lpstr>
      <vt:lpstr>'PT 3 - hatcheries'!Fair_fog</vt:lpstr>
      <vt:lpstr>'PT 3 - hatcheries'!Fair_fum</vt:lpstr>
      <vt:lpstr>'PT 3 - hatcheries'!Fair_spray</vt:lpstr>
      <vt:lpstr>'PT 3 - animal housing'!Fbioc</vt:lpstr>
      <vt:lpstr>'PT 3 - dipping bath for tools'!Fbioc</vt:lpstr>
      <vt:lpstr>'PT 3 - vet hyg footwear'!Fbioc</vt:lpstr>
      <vt:lpstr>'PT 3-vet hyg animal''s feet'!Fbioc</vt:lpstr>
      <vt:lpstr>'PT 3-vet hyg non med teat dip'!Fbioc</vt:lpstr>
      <vt:lpstr>'PT 3 - animal housing'!Fdil</vt:lpstr>
      <vt:lpstr>'PT 3 - dipping bath for tools'!Fdil</vt:lpstr>
      <vt:lpstr>'PT 3 - vet hyg footwear'!Fdil</vt:lpstr>
      <vt:lpstr>'PT 3-vet hyg animal''s feet'!Fdil</vt:lpstr>
      <vt:lpstr>'PT 3-vet hyg non med teat dip'!Fdil</vt:lpstr>
      <vt:lpstr>'PT 3 - dipping bath for tools'!Fmanure_slurry</vt:lpstr>
      <vt:lpstr>'PT 3 - vet hyg footwear'!Fmanure_slurry</vt:lpstr>
      <vt:lpstr>'PT 3-vet hyg animal''s feet'!Fmanure_slurry</vt:lpstr>
      <vt:lpstr>'PT 3-vet hyg non med teat dip'!Fmanure_slurry</vt:lpstr>
      <vt:lpstr>Foaming</vt:lpstr>
      <vt:lpstr>Fogging</vt:lpstr>
      <vt:lpstr>'PT 3 - transport'!Fstp</vt:lpstr>
      <vt:lpstr>'PT 3-vet hyg non med teat dip'!Fteat</vt:lpstr>
      <vt:lpstr>Fumigation</vt:lpstr>
      <vt:lpstr>'PT 3 - dipping bath for tools'!Fwastewater</vt:lpstr>
      <vt:lpstr>'PT 3 - vet hyg footwear'!Fwastewater</vt:lpstr>
      <vt:lpstr>'PT 3-vet hyg animal''s feet'!Fwastewater</vt:lpstr>
      <vt:lpstr>'PT 3-vet hyg non med teat dip'!Fwastewater</vt:lpstr>
      <vt:lpstr>'PT 3 - hatcheries'!Fwater_fog</vt:lpstr>
      <vt:lpstr>'PT 3 - hatcheries'!Fwater_fum</vt:lpstr>
      <vt:lpstr>'PT 3 - hatcheries'!Fwater_spray</vt:lpstr>
      <vt:lpstr>'PT 3 - animal housing'!Groundwater_and_surface_water_ar</vt:lpstr>
      <vt:lpstr>'PT 3 - dipping bath for tools'!Groundwater_and_surface_water_ar</vt:lpstr>
      <vt:lpstr>'PT 3 - vet hyg footwear'!Groundwater_and_surface_water_ar</vt:lpstr>
      <vt:lpstr>'PT 3-vet hyg animal''s feet'!Groundwater_and_surface_water_ar</vt:lpstr>
      <vt:lpstr>'PT 3-vet hyg non med teat dip'!Groundwater_and_surface_water_ar</vt:lpstr>
      <vt:lpstr>'PT 3 - animal housing'!Groundwater_and_surface_water_gr</vt:lpstr>
      <vt:lpstr>'PT 3 - dipping bath for tools'!Groundwater_and_surface_water_gr</vt:lpstr>
      <vt:lpstr>'PT 3 - vet hyg footwear'!Groundwater_and_surface_water_gr</vt:lpstr>
      <vt:lpstr>'PT 3-vet hyg animal''s feet'!Groundwater_and_surface_water_gr</vt:lpstr>
      <vt:lpstr>'PT 3-vet hyg non med teat dip'!Groundwater_and_surface_water_gr</vt:lpstr>
      <vt:lpstr>'PT 3 - animal housing'!Input</vt:lpstr>
      <vt:lpstr>'PT 3 - dipping bath for tools'!Input</vt:lpstr>
      <vt:lpstr>'PT 3 - vet hyg footwear'!Input</vt:lpstr>
      <vt:lpstr>'PT 3-vet hyg animal''s feet'!Input</vt:lpstr>
      <vt:lpstr>'PT 3-vet hyg non med teat dip'!Input</vt:lpstr>
      <vt:lpstr>'PT 3 - animal housing'!Intermediate_calculations</vt:lpstr>
      <vt:lpstr>'PT 3 - dipping bath for tools'!Intermediate_calculations</vt:lpstr>
      <vt:lpstr>'PT 3 - vet hyg footwear'!Intermediate_calculations</vt:lpstr>
      <vt:lpstr>'PT 3-vet hyg animal''s feet'!Intermediate_calculations</vt:lpstr>
      <vt:lpstr>'PT 3-vet hyg non med teat dip'!Intermediate_calculations</vt:lpstr>
      <vt:lpstr>'PT 3 - animal housing'!k_ar</vt:lpstr>
      <vt:lpstr>'PT 3 - dipping bath for tools'!k_ar</vt:lpstr>
      <vt:lpstr>'PT 3 - vet hyg footwear'!k_ar</vt:lpstr>
      <vt:lpstr>'PT 3-vet hyg animal''s feet'!k_ar</vt:lpstr>
      <vt:lpstr>'PT 3-vet hyg non med teat dip'!k_ar</vt:lpstr>
      <vt:lpstr>'PT 3 - animal housing'!k_gr</vt:lpstr>
      <vt:lpstr>'PT 3 - dipping bath for tools'!k_gr</vt:lpstr>
      <vt:lpstr>'PT 3 - vet hyg footwear'!k_gr</vt:lpstr>
      <vt:lpstr>'PT 3-vet hyg animal''s feet'!k_gr</vt:lpstr>
      <vt:lpstr>'PT 3-vet hyg non med teat dip'!k_gr</vt:lpstr>
      <vt:lpstr>'PT 3 - animal housing'!kdeg_ar</vt:lpstr>
      <vt:lpstr>'PT 3 - dipping bath for tools'!kdeg_ar</vt:lpstr>
      <vt:lpstr>'PT 3 - vet hyg footwear'!kdeg_ar</vt:lpstr>
      <vt:lpstr>'PT 3-vet hyg animal''s feet'!kdeg_ar</vt:lpstr>
      <vt:lpstr>'PT 3-vet hyg non med teat dip'!kdeg_ar</vt:lpstr>
      <vt:lpstr>'PT 3 - animal housing'!kdeg_gr</vt:lpstr>
      <vt:lpstr>'PT 3 - dipping bath for tools'!kdeg_gr</vt:lpstr>
      <vt:lpstr>'PT 3 - vet hyg footwear'!kdeg_gr</vt:lpstr>
      <vt:lpstr>'PT 3-vet hyg animal''s feet'!kdeg_gr</vt:lpstr>
      <vt:lpstr>'PT 3-vet hyg non med teat dip'!kdeg_gr</vt:lpstr>
      <vt:lpstr>'PT 3 - animal housing'!kleach_ar</vt:lpstr>
      <vt:lpstr>'PT 3 - dipping bath for tools'!kleach_ar</vt:lpstr>
      <vt:lpstr>'PT 3 - vet hyg footwear'!kleach_ar</vt:lpstr>
      <vt:lpstr>'PT 3-vet hyg animal''s feet'!kleach_ar</vt:lpstr>
      <vt:lpstr>'PT 3-vet hyg non med teat dip'!kleach_ar</vt:lpstr>
      <vt:lpstr>'PT 3 - animal housing'!kleach_gr</vt:lpstr>
      <vt:lpstr>'PT 3 - dipping bath for tools'!kleach_gr</vt:lpstr>
      <vt:lpstr>'PT 3 - vet hyg footwear'!kleach_gr</vt:lpstr>
      <vt:lpstr>'PT 3-vet hyg animal''s feet'!kleach_gr</vt:lpstr>
      <vt:lpstr>'PT 3-vet hyg non med teat dip'!kleach_gr</vt:lpstr>
      <vt:lpstr>'PT 3 - animal housing'!Kp_susp</vt:lpstr>
      <vt:lpstr>'PT 3 - dipping bath for tools'!Kp_susp</vt:lpstr>
      <vt:lpstr>'PT 3 - vet hyg footwear'!Kp_susp</vt:lpstr>
      <vt:lpstr>'PT 3-vet hyg animal''s feet'!Kp_susp</vt:lpstr>
      <vt:lpstr>'PT 3-vet hyg non med teat dip'!Kp_susp</vt:lpstr>
      <vt:lpstr>'PT 3 - animal housing'!Ksoil_water</vt:lpstr>
      <vt:lpstr>'PT 3 - dipping bath for tools'!Ksoil_water</vt:lpstr>
      <vt:lpstr>'PT 3 - vet hyg footwear'!Ksoil_water</vt:lpstr>
      <vt:lpstr>'PT 3-vet hyg animal''s feet'!Ksoil_water</vt:lpstr>
      <vt:lpstr>'PT 3-vet hyg non med teat dip'!Ksoil_water</vt:lpstr>
      <vt:lpstr>'PT 3 - animal housing'!Ksusp_water</vt:lpstr>
      <vt:lpstr>'PT 3 - dipping bath for tools'!Ksusp_water</vt:lpstr>
      <vt:lpstr>'PT 3 - vet hyg footwear'!Ksusp_water</vt:lpstr>
      <vt:lpstr>'PT 3-vet hyg animal''s feet'!Ksusp_water</vt:lpstr>
      <vt:lpstr>'PT 3-vet hyg non med teat dip'!Ksusp_water</vt:lpstr>
      <vt:lpstr>'PT 3 - animal housing'!kvolat_ar</vt:lpstr>
      <vt:lpstr>'PT 3 - dipping bath for tools'!kvolat_ar</vt:lpstr>
      <vt:lpstr>'PT 3 - vet hyg footwear'!kvolat_ar</vt:lpstr>
      <vt:lpstr>'PT 3-vet hyg animal''s feet'!kvolat_ar</vt:lpstr>
      <vt:lpstr>'PT 3-vet hyg non med teat dip'!kvolat_ar</vt:lpstr>
      <vt:lpstr>'PT 3 - animal housing'!kvolat_gr</vt:lpstr>
      <vt:lpstr>'PT 3 - dipping bath for tools'!kvolat_gr</vt:lpstr>
      <vt:lpstr>'PT 3 - vet hyg footwear'!kvolat_gr</vt:lpstr>
      <vt:lpstr>'PT 3-vet hyg animal''s feet'!kvolat_gr</vt:lpstr>
      <vt:lpstr>'PT 3-vet hyg non med teat dip'!kvolat_gr</vt:lpstr>
      <vt:lpstr>'PT 3 - hatcheries'!method_eggs</vt:lpstr>
      <vt:lpstr>'PT 3 - hatcheries'!method_rooms</vt:lpstr>
      <vt:lpstr>'PT 3 - dipping bath for tools'!Napp_bioc</vt:lpstr>
      <vt:lpstr>'PT 3 - vet hyg footwear'!Napp_bioc</vt:lpstr>
      <vt:lpstr>'PT 3-vet hyg animal''s feet'!Napp_bioc</vt:lpstr>
      <vt:lpstr>'PT 3-vet hyg non med teat dip'!Napp_bioc</vt:lpstr>
      <vt:lpstr>'PT 3 - animal housing'!Napp_manure_ar</vt:lpstr>
      <vt:lpstr>'PT 3 - dipping bath for tools'!Napp_manure_ar</vt:lpstr>
      <vt:lpstr>'PT 3 - vet hyg footwear'!Napp_manure_ar</vt:lpstr>
      <vt:lpstr>'PT 3-vet hyg animal''s feet'!Napp_manure_ar</vt:lpstr>
      <vt:lpstr>'PT 3-vet hyg non med teat dip'!Napp_manure_ar</vt:lpstr>
      <vt:lpstr>'PT 3 - dipping bath for tools'!Napp_manure_gr</vt:lpstr>
      <vt:lpstr>'PT 3 - vet hyg footwear'!Napp_manure_gr</vt:lpstr>
      <vt:lpstr>'PT 3-vet hyg animal''s feet'!Napp_manure_gr</vt:lpstr>
      <vt:lpstr>'PT 3-vet hyg non med teat dip'!Napp_manure_gr</vt:lpstr>
      <vt:lpstr>'PT 3-vet hyg non med teat dip'!Napp_teat</vt:lpstr>
      <vt:lpstr>Napp_teat_select</vt:lpstr>
      <vt:lpstr>'PT 3-vet hyg non med teat dip'!Napp_teat_set</vt:lpstr>
      <vt:lpstr>'PT 3 - transport'!Nappbioc</vt:lpstr>
      <vt:lpstr>'PT 3 - hatcheries'!Nappl_hatcher2</vt:lpstr>
      <vt:lpstr>'PT 3 - hatcheries'!Nappl_hatcher3</vt:lpstr>
      <vt:lpstr>'PT 3 - hatcheries'!Nappl_setter3</vt:lpstr>
      <vt:lpstr>'PT 3 - hatcheries'!Nappl_sluice1</vt:lpstr>
      <vt:lpstr>'PT 3 - hatcheries'!Nhatcher2</vt:lpstr>
      <vt:lpstr>'PT 3 - hatcheries'!Nhatcher3</vt:lpstr>
      <vt:lpstr>'PT 3 - animal housing'!Nlapp_arab</vt:lpstr>
      <vt:lpstr>'PT 3 - dipping bath for tools'!Nlapp_arab</vt:lpstr>
      <vt:lpstr>'PT 3 - vet hyg footwear'!Nlapp_arab</vt:lpstr>
      <vt:lpstr>'PT 3-vet hyg animal''s feet'!Nlapp_arab</vt:lpstr>
      <vt:lpstr>'PT 3-vet hyg non med teat dip'!Nlapp_arab</vt:lpstr>
      <vt:lpstr>'PT 3 - animal housing'!Nlapp_arab_10</vt:lpstr>
      <vt:lpstr>'PT 3 - dipping bath for tools'!Nlapp_arab_10</vt:lpstr>
      <vt:lpstr>'PT 3 - vet hyg footwear'!Nlapp_arab_10</vt:lpstr>
      <vt:lpstr>'PT 3-vet hyg animal''s feet'!Nlapp_arab_10</vt:lpstr>
      <vt:lpstr>'PT 3-vet hyg non med teat dip'!Nlapp_arab_10</vt:lpstr>
      <vt:lpstr>'PT 3 - animal housing'!Nlapp_grass</vt:lpstr>
      <vt:lpstr>'PT 3 - dipping bath for tools'!Nlapp_grass</vt:lpstr>
      <vt:lpstr>'PT 3 - vet hyg footwear'!Nlapp_grass</vt:lpstr>
      <vt:lpstr>'PT 3-vet hyg animal''s feet'!Nlapp_grass</vt:lpstr>
      <vt:lpstr>'PT 3-vet hyg non med teat dip'!Nlapp_grass</vt:lpstr>
      <vt:lpstr>'PT 3 - hatcheries'!Nsetter3</vt:lpstr>
      <vt:lpstr>'PT 3 - hatcheries'!Nsluice1</vt:lpstr>
      <vt:lpstr>'PT 3 - dipping bath for tools'!Ntub_filling</vt:lpstr>
      <vt:lpstr>'PT 3 - vet hyg footwear'!Ntub_filling</vt:lpstr>
      <vt:lpstr>'PT 3-vet hyg animal''s feet'!Ntub_filling</vt:lpstr>
      <vt:lpstr>'PT 3 - animal housing'!Output</vt:lpstr>
      <vt:lpstr>'PT 3 - dipping bath for tools'!Output</vt:lpstr>
      <vt:lpstr>'PT 3 - vet hyg footwear'!Output</vt:lpstr>
      <vt:lpstr>'PT 3-vet hyg animal''s feet'!Output</vt:lpstr>
      <vt:lpstr>'PT 3-vet hyg non med teat dip'!Output</vt:lpstr>
      <vt:lpstr>'PT 3 - animal housing'!Purity</vt:lpstr>
      <vt:lpstr>'PT 3 - dipping bath for tools'!Purity</vt:lpstr>
      <vt:lpstr>'PT 3 - vet hyg footwear'!Purity</vt:lpstr>
      <vt:lpstr>'PT 3-vet hyg animal''s feet'!Purity</vt:lpstr>
      <vt:lpstr>'PT 3-vet hyg non med teat dip'!Purity</vt:lpstr>
      <vt:lpstr>'PT 3 - hatcheries'!Qai_appl_eggs</vt:lpstr>
      <vt:lpstr>'PT 3 - hatcheries'!Qai_appl_rooms</vt:lpstr>
      <vt:lpstr>'PT 3 - dipping bath for tools'!Qai_arab</vt:lpstr>
      <vt:lpstr>'PT 3 - vet hyg footwear'!Qai_arab</vt:lpstr>
      <vt:lpstr>'PT 3-vet hyg animal''s feet'!Qai_arab</vt:lpstr>
      <vt:lpstr>'PT 3-vet hyg non med teat dip'!Qai_arab</vt:lpstr>
      <vt:lpstr>'PT 3-vet hyg non med teat dip'!Qai_arab_grazing_s</vt:lpstr>
      <vt:lpstr>'PT 3 - dipping bath for tools'!Qai_grass</vt:lpstr>
      <vt:lpstr>'PT 3 - vet hyg footwear'!Qai_grass</vt:lpstr>
      <vt:lpstr>'PT 3-vet hyg animal''s feet'!Qai_grass</vt:lpstr>
      <vt:lpstr>'PT 3-vet hyg non med teat dip'!Qai_grass</vt:lpstr>
      <vt:lpstr>'PT 3-vet hyg non med teat dip'!Qai_grass_grazing_s</vt:lpstr>
      <vt:lpstr>'PT 3 - dipping bath for tools'!Qai_prescr</vt:lpstr>
      <vt:lpstr>'PT 3 - vet hyg footwear'!Qai_prescr</vt:lpstr>
      <vt:lpstr>'PT 3-vet hyg animal''s feet'!Qai_prescr</vt:lpstr>
      <vt:lpstr>'PT 3-vet hyg non med teat dip'!Qai_prescr</vt:lpstr>
      <vt:lpstr>'PT 3 - transport'!Qai_prescr_mam</vt:lpstr>
      <vt:lpstr>'PT 3 - transport'!Qai_prescr_poul</vt:lpstr>
      <vt:lpstr>'PT 3 - animal housing'!QN_arable</vt:lpstr>
      <vt:lpstr>'PT 3 - dipping bath for tools'!QN_arable</vt:lpstr>
      <vt:lpstr>'PT 3 - vet hyg footwear'!QN_arable</vt:lpstr>
      <vt:lpstr>'PT 3-vet hyg animal''s feet'!QN_arable</vt:lpstr>
      <vt:lpstr>'PT 3-vet hyg non med teat dip'!QN_arable</vt:lpstr>
      <vt:lpstr>'PT 3 - animal housing'!QN_grass</vt:lpstr>
      <vt:lpstr>'PT 3 - dipping bath for tools'!QN_grass</vt:lpstr>
      <vt:lpstr>'PT 3 - vet hyg footwear'!QN_grass</vt:lpstr>
      <vt:lpstr>'PT 3-vet hyg animal''s feet'!QN_grass</vt:lpstr>
      <vt:lpstr>'PT 3-vet hyg non med teat dip'!QN_grass</vt:lpstr>
      <vt:lpstr>'PT 3 - animal housing'!Qprod</vt:lpstr>
      <vt:lpstr>'PT 3 - animal housing'!RHOsoilwet</vt:lpstr>
      <vt:lpstr>'PT 3 - dipping bath for tools'!RHOsoilwet</vt:lpstr>
      <vt:lpstr>'PT 3 - vet hyg footwear'!RHOsoilwet</vt:lpstr>
      <vt:lpstr>'PT 3-vet hyg animal''s feet'!RHOsoilwet</vt:lpstr>
      <vt:lpstr>'PT 3-vet hyg non med teat dip'!RHOsoilwet</vt:lpstr>
      <vt:lpstr>'PT 3 - animal housing'!RHOsusp</vt:lpstr>
      <vt:lpstr>'PT 3 - dipping bath for tools'!RHOsusp</vt:lpstr>
      <vt:lpstr>'PT 3 - vet hyg footwear'!RHOsusp</vt:lpstr>
      <vt:lpstr>'PT 3-vet hyg animal''s feet'!RHOsusp</vt:lpstr>
      <vt:lpstr>'PT 3-vet hyg non med teat dip'!RHOsusp</vt:lpstr>
      <vt:lpstr>rooms_disinfection</vt:lpstr>
      <vt:lpstr>Select_area</vt:lpstr>
      <vt:lpstr>Select_units</vt:lpstr>
      <vt:lpstr>'PT 3 - animal housing'!Soil___arable_land</vt:lpstr>
      <vt:lpstr>'PT 3 - dipping bath for tools'!Soil___arable_land</vt:lpstr>
      <vt:lpstr>'PT 3 - vet hyg footwear'!Soil___arable_land</vt:lpstr>
      <vt:lpstr>'PT 3-vet hyg animal''s feet'!Soil___arable_land</vt:lpstr>
      <vt:lpstr>'PT 3-vet hyg non med teat dip'!Soil___arable_land</vt:lpstr>
      <vt:lpstr>'PT 3 - animal housing'!Soil___grassland</vt:lpstr>
      <vt:lpstr>'PT 3 - dipping bath for tools'!Soil___grassland</vt:lpstr>
      <vt:lpstr>'PT 3 - vet hyg footwear'!Soil___grassland</vt:lpstr>
      <vt:lpstr>'PT 3-vet hyg animal''s feet'!Soil___grassland</vt:lpstr>
      <vt:lpstr>'PT 3-vet hyg non med teat dip'!Soil___grassland</vt:lpstr>
      <vt:lpstr>'PT 3 - animal housing'!source_strength</vt:lpstr>
      <vt:lpstr>'PT 3 - transport'!Source_strength</vt:lpstr>
      <vt:lpstr>'PT 3-vet hyg animal''s feet'!source_strength</vt:lpstr>
      <vt:lpstr>Spraying</vt:lpstr>
      <vt:lpstr>'PT 3 - animal housing'!STP</vt:lpstr>
      <vt:lpstr>'PT 3 - dipping bath for tools'!STP</vt:lpstr>
      <vt:lpstr>'PT 3 - vet hyg footwear'!STP</vt:lpstr>
      <vt:lpstr>'PT 3-vet hyg animal''s feet'!STP</vt:lpstr>
      <vt:lpstr>'PT 3-vet hyg non med teat dip'!STP</vt:lpstr>
      <vt:lpstr>'PT 3 - animal housing'!SUSPwater</vt:lpstr>
      <vt:lpstr>'PT 3 - dipping bath for tools'!SUSPwater</vt:lpstr>
      <vt:lpstr>'PT 3 - vet hyg footwear'!SUSPwater</vt:lpstr>
      <vt:lpstr>'PT 3-vet hyg animal''s feet'!SUSPwater</vt:lpstr>
      <vt:lpstr>'PT 3-vet hyg non med teat dip'!SUSPwater</vt:lpstr>
      <vt:lpstr>'PT 3 - animal housing'!Tar_int_10</vt:lpstr>
      <vt:lpstr>'PT 3 - dipping bath for tools'!Tar_int_10</vt:lpstr>
      <vt:lpstr>'PT 3 - vet hyg footwear'!Tar_int_10</vt:lpstr>
      <vt:lpstr>'PT 3-vet hyg animal''s feet'!Tar_int_10</vt:lpstr>
      <vt:lpstr>'PT 3-vet hyg non med teat dip'!Tar_int_10</vt:lpstr>
      <vt:lpstr>'PT 3 - dipping bath for tools'!Tbioc_int</vt:lpstr>
      <vt:lpstr>'PT 3 - vet hyg footwear'!Tbioc_int</vt:lpstr>
      <vt:lpstr>'PT 3-vet hyg animal''s feet'!Tbioc_int</vt:lpstr>
      <vt:lpstr>'PT 3-vet hyg non med teat dip'!Tbioc_int</vt:lpstr>
      <vt:lpstr>'PT 3 - animal housing'!Temission</vt:lpstr>
      <vt:lpstr>'PT 3 - transport'!Temission</vt:lpstr>
      <vt:lpstr>'PT 3-vet hyg animal''s feet'!Temission</vt:lpstr>
      <vt:lpstr>'PT 3-vet hyg non med teat dip'!Temission</vt:lpstr>
      <vt:lpstr>'PT 3 - animal housing'!Tgr_int</vt:lpstr>
      <vt:lpstr>'PT 3 - dipping bath for tools'!Tgr_int</vt:lpstr>
      <vt:lpstr>'PT 3 - vet hyg footwear'!Tgr_int</vt:lpstr>
      <vt:lpstr>'PT 3-vet hyg animal''s feet'!Tgr_int</vt:lpstr>
      <vt:lpstr>'PT 3-vet hyg non med teat dip'!Tgr_int</vt:lpstr>
      <vt:lpstr>units</vt:lpstr>
      <vt:lpstr>units_L</vt:lpstr>
      <vt:lpstr>'PT 3 - transport'!V_prod</vt:lpstr>
      <vt:lpstr>'PT 3 - hatcheries'!Vhatcher2</vt:lpstr>
      <vt:lpstr>'PT 3 - hatcheries'!Vhatcher3</vt:lpstr>
      <vt:lpstr>'PT 3-vet hyg non med teat dip'!Vprod</vt:lpstr>
      <vt:lpstr>'PT 3 - dipping bath for tools'!Vreserv</vt:lpstr>
      <vt:lpstr>'PT 3 - vet hyg footwear'!Vreserv</vt:lpstr>
      <vt:lpstr>'PT 3-vet hyg animal''s feet'!Vreserv</vt:lpstr>
      <vt:lpstr>'PT 3 - hatcheries'!Vsetter3</vt:lpstr>
      <vt:lpstr>'PT 3 - hatcheries'!Vsluice1</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NOGUEIRO Eugenia</cp:lastModifiedBy>
  <dcterms:created xsi:type="dcterms:W3CDTF">2015-06-18T08:46:54Z</dcterms:created>
  <dcterms:modified xsi:type="dcterms:W3CDTF">2022-02-28T11:58:02Z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74b3bc5d-1612-43f6-bbb8-316d53479995</vt:lpwstr>
  </property>
</Properties>
</file>